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Filed Documents 5-27-22\"/>
    </mc:Choice>
  </mc:AlternateContent>
  <xr:revisionPtr revIDLastSave="0" documentId="14_{9EB3DBC3-83A1-44CB-A08A-F52C6AE9517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11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L3" i="18" l="1"/>
  <c r="H211" i="18"/>
  <c r="H36" i="18" l="1"/>
  <c r="H100" i="18"/>
  <c r="H52" i="18"/>
  <c r="H68" i="18"/>
  <c r="H132" i="18"/>
  <c r="H116" i="18"/>
  <c r="H20" i="18"/>
  <c r="H84" i="18"/>
  <c r="H148" i="18"/>
  <c r="H28" i="18"/>
  <c r="H44" i="18"/>
  <c r="H60" i="18"/>
  <c r="H76" i="18"/>
  <c r="H92" i="18"/>
  <c r="H108" i="18"/>
  <c r="H124" i="18"/>
  <c r="H140" i="18"/>
  <c r="H156" i="18"/>
  <c r="H24" i="18"/>
  <c r="H40" i="18"/>
  <c r="H56" i="18"/>
  <c r="H72" i="18"/>
  <c r="H88" i="18"/>
  <c r="H104" i="18"/>
  <c r="H120" i="18"/>
  <c r="H136" i="18"/>
  <c r="H152" i="18"/>
  <c r="H32" i="18"/>
  <c r="H48" i="18"/>
  <c r="H64" i="18"/>
  <c r="H80" i="18"/>
  <c r="H96" i="18"/>
  <c r="H112" i="18"/>
  <c r="H128" i="18"/>
  <c r="H144" i="18"/>
  <c r="H160" i="18"/>
  <c r="H25" i="18"/>
  <c r="H33" i="18"/>
  <c r="H41" i="18"/>
  <c r="H49" i="18"/>
  <c r="H57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3" i="18"/>
  <c r="H181" i="18"/>
  <c r="H185" i="18"/>
  <c r="H189" i="18"/>
  <c r="H193" i="18"/>
  <c r="H197" i="18"/>
  <c r="H201" i="18"/>
  <c r="H205" i="18"/>
  <c r="H209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21" i="18"/>
  <c r="H29" i="18"/>
  <c r="H37" i="18"/>
  <c r="H45" i="18"/>
  <c r="H53" i="18"/>
  <c r="H61" i="18"/>
  <c r="H69" i="18"/>
  <c r="H77" i="18"/>
  <c r="H85" i="18"/>
  <c r="H93" i="18"/>
  <c r="H101" i="18"/>
  <c r="H109" i="18"/>
  <c r="H117" i="18"/>
  <c r="H125" i="18"/>
  <c r="H133" i="18"/>
  <c r="H141" i="18"/>
  <c r="H149" i="18"/>
  <c r="H157" i="18"/>
  <c r="H165" i="18"/>
  <c r="H177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K62" i="18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E20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54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C49" i="18" s="1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C53" i="18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C72" i="18"/>
  <c r="D33" i="18"/>
  <c r="D45" i="18" s="1"/>
  <c r="D34" i="18"/>
  <c r="D58" i="18" s="1"/>
  <c r="D55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3" i="29"/>
  <c r="F10" i="29"/>
  <c r="D50" i="18"/>
  <c r="C57" i="18"/>
  <c r="C81" i="18" s="1"/>
  <c r="C93" i="18" s="1"/>
  <c r="C105" i="18" s="1"/>
  <c r="C117" i="18" s="1"/>
  <c r="C129" i="18" s="1"/>
  <c r="C141" i="18" s="1"/>
  <c r="C153" i="18" s="1"/>
  <c r="K119" i="18"/>
  <c r="K33" i="18"/>
  <c r="K169" i="18"/>
  <c r="K84" i="18"/>
  <c r="K128" i="18"/>
  <c r="K149" i="18"/>
  <c r="K61" i="18"/>
  <c r="K205" i="18"/>
  <c r="K192" i="18"/>
  <c r="K103" i="18"/>
  <c r="K161" i="18"/>
  <c r="K175" i="18"/>
  <c r="K150" i="18"/>
  <c r="K174" i="18"/>
  <c r="K151" i="18"/>
  <c r="K75" i="18"/>
  <c r="K173" i="18"/>
  <c r="K36" i="18"/>
  <c r="K176" i="18"/>
  <c r="K40" i="18"/>
  <c r="K95" i="18"/>
  <c r="K25" i="18"/>
  <c r="K122" i="18"/>
  <c r="K39" i="18"/>
  <c r="K134" i="18"/>
  <c r="K167" i="18"/>
  <c r="K64" i="18"/>
  <c r="K107" i="18"/>
  <c r="K35" i="18"/>
  <c r="K182" i="18"/>
  <c r="K195" i="18"/>
  <c r="K82" i="18"/>
  <c r="K162" i="18"/>
  <c r="K77" i="18"/>
  <c r="K79" i="18"/>
  <c r="K200" i="18"/>
  <c r="K55" i="18"/>
  <c r="K199" i="18"/>
  <c r="K60" i="18"/>
  <c r="K157" i="18"/>
  <c r="K166" i="18"/>
  <c r="K78" i="18"/>
  <c r="G36" i="29"/>
  <c r="E29" i="29"/>
  <c r="D30" i="29"/>
  <c r="D27" i="29"/>
  <c r="D23" i="29"/>
  <c r="G37" i="29"/>
  <c r="E35" i="29"/>
  <c r="D26" i="29"/>
  <c r="H21" i="29"/>
  <c r="E23" i="29"/>
  <c r="E26" i="29"/>
  <c r="E24" i="29"/>
  <c r="E36" i="29"/>
  <c r="E28" i="29"/>
  <c r="H25" i="29"/>
  <c r="H23" i="29"/>
  <c r="G28" i="29"/>
  <c r="G22" i="29"/>
  <c r="E31" i="29"/>
  <c r="D32" i="29"/>
  <c r="H22" i="29"/>
  <c r="H31" i="29"/>
  <c r="D33" i="29"/>
  <c r="H33" i="29"/>
  <c r="E27" i="29"/>
  <c r="G32" i="29"/>
  <c r="D29" i="29"/>
  <c r="H24" i="29"/>
  <c r="E25" i="29"/>
  <c r="G33" i="29"/>
  <c r="E30" i="29"/>
  <c r="D28" i="29"/>
  <c r="G26" i="29"/>
  <c r="D35" i="29"/>
  <c r="H26" i="29"/>
  <c r="H28" i="29"/>
  <c r="D31" i="29"/>
  <c r="H36" i="29"/>
  <c r="G29" i="29"/>
  <c r="E33" i="29"/>
  <c r="D21" i="29"/>
  <c r="D25" i="29"/>
  <c r="E21" i="29"/>
  <c r="D24" i="29"/>
  <c r="D37" i="29"/>
  <c r="G31" i="29"/>
  <c r="E37" i="29"/>
  <c r="D36" i="29"/>
  <c r="G27" i="29"/>
  <c r="H35" i="29"/>
  <c r="H32" i="29"/>
  <c r="E32" i="29"/>
  <c r="G35" i="29"/>
  <c r="H30" i="29"/>
  <c r="D22" i="29"/>
  <c r="G23" i="29"/>
  <c r="G30" i="29"/>
  <c r="G24" i="29"/>
  <c r="H37" i="29"/>
  <c r="H27" i="29"/>
  <c r="G25" i="29"/>
  <c r="G21" i="29"/>
  <c r="E22" i="29"/>
  <c r="H29" i="29"/>
  <c r="C66" i="18" l="1"/>
  <c r="C78" i="18" s="1"/>
  <c r="D57" i="18"/>
  <c r="D81" i="18" s="1"/>
  <c r="D93" i="18" s="1"/>
  <c r="D105" i="18" s="1"/>
  <c r="D117" i="18" s="1"/>
  <c r="D129" i="18" s="1"/>
  <c r="D141" i="18" s="1"/>
  <c r="D153" i="18" s="1"/>
  <c r="D46" i="18"/>
  <c r="C61" i="18"/>
  <c r="C73" i="18" s="1"/>
  <c r="C64" i="18"/>
  <c r="C76" i="18" s="1"/>
  <c r="C90" i="18"/>
  <c r="C102" i="18" s="1"/>
  <c r="C114" i="18" s="1"/>
  <c r="C126" i="18" s="1"/>
  <c r="C138" i="18" s="1"/>
  <c r="C150" i="18" s="1"/>
  <c r="C162" i="18" s="1"/>
  <c r="C186" i="18" s="1"/>
  <c r="C198" i="18" s="1"/>
  <c r="C210" i="18" s="1"/>
  <c r="C68" i="18"/>
  <c r="C63" i="18"/>
  <c r="D79" i="18"/>
  <c r="C88" i="18"/>
  <c r="C100" i="18" s="1"/>
  <c r="C112" i="18" s="1"/>
  <c r="C124" i="18" s="1"/>
  <c r="C136" i="18" s="1"/>
  <c r="C148" i="18" s="1"/>
  <c r="C160" i="18" s="1"/>
  <c r="C172" i="18" s="1"/>
  <c r="D53" i="18"/>
  <c r="E10" i="29"/>
  <c r="D20" i="29"/>
  <c r="O13" i="18"/>
  <c r="K53" i="18"/>
  <c r="K184" i="18"/>
  <c r="K50" i="18"/>
  <c r="K67" i="18"/>
  <c r="K116" i="18"/>
  <c r="K98" i="18"/>
  <c r="K66" i="18"/>
  <c r="K68" i="18"/>
  <c r="K54" i="18"/>
  <c r="K76" i="18"/>
  <c r="K106" i="18"/>
  <c r="K81" i="18"/>
  <c r="K154" i="18"/>
  <c r="K104" i="18"/>
  <c r="K59" i="18"/>
  <c r="K148" i="18"/>
  <c r="K24" i="18"/>
  <c r="K177" i="18"/>
  <c r="K165" i="18"/>
  <c r="K30" i="18"/>
  <c r="K83" i="18"/>
  <c r="K26" i="18"/>
  <c r="K129" i="18"/>
  <c r="K46" i="18"/>
  <c r="K86" i="18"/>
  <c r="K121" i="18"/>
  <c r="K43" i="18"/>
  <c r="K159" i="18"/>
  <c r="K135" i="18"/>
  <c r="K188" i="18"/>
  <c r="K198" i="18"/>
  <c r="K91" i="18"/>
  <c r="K34" i="18"/>
  <c r="K37" i="18"/>
  <c r="K41" i="18"/>
  <c r="K74" i="18"/>
  <c r="K158" i="18"/>
  <c r="K21" i="18"/>
  <c r="K201" i="18"/>
  <c r="K189" i="18"/>
  <c r="K168" i="18"/>
  <c r="K87" i="18"/>
  <c r="K97" i="18"/>
  <c r="K70" i="18"/>
  <c r="K170" i="18"/>
  <c r="K44" i="18"/>
  <c r="K136" i="18"/>
  <c r="K209" i="18"/>
  <c r="K22" i="18"/>
  <c r="K108" i="18"/>
  <c r="K105" i="18"/>
  <c r="K206" i="18"/>
  <c r="K179" i="18"/>
  <c r="K141" i="18"/>
  <c r="K72" i="18"/>
  <c r="K138" i="18"/>
  <c r="K211" i="18"/>
  <c r="K145" i="18"/>
  <c r="K185" i="18"/>
  <c r="K57" i="18"/>
  <c r="K124" i="18"/>
  <c r="K109" i="18"/>
  <c r="K120" i="18"/>
  <c r="K63" i="18"/>
  <c r="K137" i="18"/>
  <c r="K69" i="18"/>
  <c r="K31" i="18"/>
  <c r="K171" i="18"/>
  <c r="K65" i="18"/>
  <c r="K147" i="18"/>
  <c r="K208" i="18"/>
  <c r="K29" i="18"/>
  <c r="K114" i="18"/>
  <c r="K89" i="18"/>
  <c r="K42" i="18"/>
  <c r="K131" i="18"/>
  <c r="K96" i="18"/>
  <c r="K102" i="18"/>
  <c r="K113" i="18"/>
  <c r="K123" i="18"/>
  <c r="K132" i="18"/>
  <c r="K180" i="18"/>
  <c r="K85" i="18"/>
  <c r="K101" i="18"/>
  <c r="K94" i="18"/>
  <c r="K207" i="18"/>
  <c r="K155" i="18"/>
  <c r="K196" i="18"/>
  <c r="K191" i="18"/>
  <c r="K51" i="18"/>
  <c r="K186" i="18"/>
  <c r="K178" i="18"/>
  <c r="K23" i="18"/>
  <c r="K110" i="18"/>
  <c r="K56" i="18"/>
  <c r="K156" i="18"/>
  <c r="K48" i="18"/>
  <c r="K146" i="18"/>
  <c r="K73" i="18"/>
  <c r="K202" i="18"/>
  <c r="K204" i="18"/>
  <c r="K143" i="18"/>
  <c r="K38" i="18"/>
  <c r="K111" i="18"/>
  <c r="K118" i="18"/>
  <c r="K45" i="18"/>
  <c r="K190" i="18"/>
  <c r="K27" i="18"/>
  <c r="K183" i="18"/>
  <c r="K20" i="18"/>
  <c r="K100" i="18"/>
  <c r="K210" i="18"/>
  <c r="K99" i="18"/>
  <c r="K194" i="18"/>
  <c r="K71" i="18"/>
  <c r="K52" i="18"/>
  <c r="K125" i="18"/>
  <c r="K197" i="18"/>
  <c r="K93" i="18"/>
  <c r="K126" i="18"/>
  <c r="K139" i="18"/>
  <c r="E13" i="29"/>
  <c r="K49" i="18"/>
  <c r="K47" i="18"/>
  <c r="K187" i="18"/>
  <c r="K152" i="18"/>
  <c r="K181" i="18"/>
  <c r="K32" i="18"/>
  <c r="K28" i="18"/>
  <c r="K115" i="18"/>
  <c r="K130" i="18"/>
  <c r="K127" i="18"/>
  <c r="K153" i="18"/>
  <c r="K88" i="18"/>
  <c r="K92" i="18"/>
  <c r="K160" i="18"/>
  <c r="K80" i="18"/>
  <c r="J34" i="29"/>
  <c r="J39" i="29" s="1"/>
  <c r="K144" i="18"/>
  <c r="K203" i="18"/>
  <c r="K140" i="18"/>
  <c r="G212" i="18"/>
  <c r="K164" i="18"/>
  <c r="K58" i="18"/>
  <c r="K133" i="18"/>
  <c r="K117" i="18"/>
  <c r="K90" i="18"/>
  <c r="K193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85" i="18" s="1"/>
  <c r="D197" i="18" s="1"/>
  <c r="D209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74" i="18"/>
  <c r="C180" i="18"/>
  <c r="C192" i="18" s="1"/>
  <c r="C204" i="18" s="1"/>
  <c r="C168" i="18"/>
  <c r="O14" i="18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C47" i="18"/>
  <c r="C5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K142" i="18"/>
  <c r="D84" i="18"/>
  <c r="D96" i="18" s="1"/>
  <c r="D108" i="18" s="1"/>
  <c r="D120" i="18" s="1"/>
  <c r="D132" i="18" s="1"/>
  <c r="D144" i="18" s="1"/>
  <c r="D156" i="18" s="1"/>
  <c r="D69" i="18"/>
  <c r="D75" i="18"/>
  <c r="K163" i="18"/>
  <c r="K172" i="18"/>
  <c r="K112" i="18"/>
  <c r="D64" i="18"/>
  <c r="D52" i="18"/>
  <c r="D182" i="18" l="1"/>
  <c r="D194" i="18" s="1"/>
  <c r="D206" i="18" s="1"/>
  <c r="D68" i="18"/>
  <c r="C85" i="18"/>
  <c r="C97" i="18" s="1"/>
  <c r="C109" i="18" s="1"/>
  <c r="C121" i="18" s="1"/>
  <c r="C133" i="18" s="1"/>
  <c r="C145" i="18" s="1"/>
  <c r="C157" i="18" s="1"/>
  <c r="C181" i="18" s="1"/>
  <c r="C193" i="18" s="1"/>
  <c r="C205" i="18" s="1"/>
  <c r="C184" i="18"/>
  <c r="C196" i="18" s="1"/>
  <c r="C208" i="18" s="1"/>
  <c r="D186" i="18"/>
  <c r="D198" i="18" s="1"/>
  <c r="D210" i="18" s="1"/>
  <c r="D173" i="18"/>
  <c r="C87" i="18"/>
  <c r="C99" i="18" s="1"/>
  <c r="C111" i="18" s="1"/>
  <c r="C123" i="18" s="1"/>
  <c r="C135" i="18" s="1"/>
  <c r="C147" i="18" s="1"/>
  <c r="C159" i="18" s="1"/>
  <c r="C75" i="18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K14" i="18"/>
  <c r="I35" i="29"/>
  <c r="F38" i="29"/>
  <c r="D168" i="18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K13" i="18"/>
  <c r="K212" i="18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C169" i="18" l="1"/>
  <c r="C183" i="18"/>
  <c r="C195" i="18" s="1"/>
  <c r="C207" i="18" s="1"/>
  <c r="C171" i="18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F12" i="29" l="1"/>
  <c r="I45" i="18" l="1"/>
  <c r="J45" i="18" s="1"/>
  <c r="L45" i="18" s="1"/>
  <c r="I123" i="18"/>
  <c r="J123" i="18" s="1"/>
  <c r="L123" i="18" s="1"/>
  <c r="I68" i="18"/>
  <c r="J68" i="18" s="1"/>
  <c r="L68" i="18" s="1"/>
  <c r="I175" i="18"/>
  <c r="J175" i="18" s="1"/>
  <c r="L175" i="18" s="1"/>
  <c r="I191" i="18"/>
  <c r="J191" i="18" s="1"/>
  <c r="L191" i="18" s="1"/>
  <c r="I88" i="18"/>
  <c r="J88" i="18" s="1"/>
  <c r="L88" i="18" s="1"/>
  <c r="I195" i="18"/>
  <c r="J195" i="18" s="1"/>
  <c r="L195" i="18" s="1"/>
  <c r="I96" i="18"/>
  <c r="J96" i="18" s="1"/>
  <c r="L96" i="18" s="1"/>
  <c r="I177" i="18"/>
  <c r="J177" i="18" s="1"/>
  <c r="L177" i="18" s="1"/>
  <c r="I24" i="18"/>
  <c r="J24" i="18" s="1"/>
  <c r="L24" i="18" s="1"/>
  <c r="I27" i="18"/>
  <c r="J27" i="18" s="1"/>
  <c r="L27" i="18" s="1"/>
  <c r="I99" i="18"/>
  <c r="J99" i="18" s="1"/>
  <c r="L99" i="18" s="1"/>
  <c r="I126" i="18"/>
  <c r="J126" i="18" s="1"/>
  <c r="L126" i="18" s="1"/>
  <c r="I75" i="18"/>
  <c r="J75" i="18" s="1"/>
  <c r="L75" i="18" s="1"/>
  <c r="I38" i="18"/>
  <c r="J38" i="18" s="1"/>
  <c r="L38" i="18" s="1"/>
  <c r="I21" i="18"/>
  <c r="J21" i="18" s="1"/>
  <c r="L21" i="18" s="1"/>
  <c r="I32" i="18"/>
  <c r="J32" i="18" s="1"/>
  <c r="L32" i="18" s="1"/>
  <c r="I41" i="18"/>
  <c r="J41" i="18" s="1"/>
  <c r="L41" i="18" s="1"/>
  <c r="I66" i="18"/>
  <c r="J66" i="18" s="1"/>
  <c r="L66" i="18" s="1"/>
  <c r="I144" i="18"/>
  <c r="J144" i="18" s="1"/>
  <c r="L144" i="18" s="1"/>
  <c r="I115" i="18"/>
  <c r="J115" i="18" s="1"/>
  <c r="L115" i="18" s="1"/>
  <c r="I150" i="18"/>
  <c r="J150" i="18" s="1"/>
  <c r="L150" i="18" s="1"/>
  <c r="I83" i="18"/>
  <c r="J83" i="18" s="1"/>
  <c r="L83" i="18" s="1"/>
  <c r="I155" i="18"/>
  <c r="J155" i="18" s="1"/>
  <c r="L155" i="18" s="1"/>
  <c r="I208" i="18"/>
  <c r="J208" i="18" s="1"/>
  <c r="L208" i="18" s="1"/>
  <c r="I206" i="18"/>
  <c r="J206" i="18" s="1"/>
  <c r="L206" i="18" s="1"/>
  <c r="I106" i="18"/>
  <c r="J106" i="18" s="1"/>
  <c r="L106" i="18" s="1"/>
  <c r="I187" i="18"/>
  <c r="J187" i="18" s="1"/>
  <c r="L187" i="18" s="1"/>
  <c r="I166" i="18"/>
  <c r="J166" i="18" s="1"/>
  <c r="L166" i="18" s="1"/>
  <c r="I116" i="18"/>
  <c r="J116" i="18" s="1"/>
  <c r="L116" i="18" s="1"/>
  <c r="I167" i="18"/>
  <c r="J167" i="18" s="1"/>
  <c r="L167" i="18" s="1"/>
  <c r="I210" i="18"/>
  <c r="J210" i="18" s="1"/>
  <c r="L210" i="18" s="1"/>
  <c r="I170" i="18"/>
  <c r="J170" i="18" s="1"/>
  <c r="L170" i="18" s="1"/>
  <c r="I174" i="18"/>
  <c r="J174" i="18" s="1"/>
  <c r="L174" i="18" s="1"/>
  <c r="I55" i="18"/>
  <c r="J55" i="18" s="1"/>
  <c r="L55" i="18" s="1"/>
  <c r="I53" i="18"/>
  <c r="J53" i="18" s="1"/>
  <c r="L53" i="18" s="1"/>
  <c r="I56" i="18"/>
  <c r="J56" i="18" s="1"/>
  <c r="I28" i="18"/>
  <c r="J28" i="18" s="1"/>
  <c r="L28" i="18" s="1"/>
  <c r="I111" i="18"/>
  <c r="J111" i="18" s="1"/>
  <c r="L111" i="18" s="1"/>
  <c r="I30" i="18"/>
  <c r="J30" i="18" s="1"/>
  <c r="L30" i="18" s="1"/>
  <c r="I33" i="18"/>
  <c r="J33" i="18" s="1"/>
  <c r="L33" i="18" s="1"/>
  <c r="I97" i="18"/>
  <c r="J97" i="18" s="1"/>
  <c r="L97" i="18" s="1"/>
  <c r="I125" i="18"/>
  <c r="J125" i="18" s="1"/>
  <c r="L125" i="18" s="1"/>
  <c r="I160" i="18"/>
  <c r="J160" i="18" s="1"/>
  <c r="L160" i="18" s="1"/>
  <c r="I158" i="18"/>
  <c r="J158" i="18" s="1"/>
  <c r="L158" i="18" s="1"/>
  <c r="I94" i="18"/>
  <c r="J94" i="18" s="1"/>
  <c r="L94" i="18" s="1"/>
  <c r="I60" i="18"/>
  <c r="J60" i="18" s="1"/>
  <c r="L60" i="18" s="1"/>
  <c r="I148" i="18"/>
  <c r="J148" i="18" s="1"/>
  <c r="L148" i="18" s="1"/>
  <c r="I190" i="18"/>
  <c r="J190" i="18" s="1"/>
  <c r="L190" i="18" s="1"/>
  <c r="I192" i="18"/>
  <c r="J192" i="18" s="1"/>
  <c r="L192" i="18" s="1"/>
  <c r="I202" i="18"/>
  <c r="J202" i="18" s="1"/>
  <c r="L202" i="18" s="1"/>
  <c r="I112" i="18"/>
  <c r="J112" i="18" s="1"/>
  <c r="L112" i="18" s="1"/>
  <c r="I136" i="18"/>
  <c r="J136" i="18" s="1"/>
  <c r="L136" i="18" s="1"/>
  <c r="I203" i="18"/>
  <c r="J203" i="18" s="1"/>
  <c r="L203" i="18" s="1"/>
  <c r="I117" i="18"/>
  <c r="J117" i="18" s="1"/>
  <c r="L117" i="18" s="1"/>
  <c r="I36" i="18"/>
  <c r="J36" i="18" s="1"/>
  <c r="L36" i="18" s="1"/>
  <c r="I78" i="18"/>
  <c r="J78" i="18" s="1"/>
  <c r="L78" i="18" s="1"/>
  <c r="I197" i="18"/>
  <c r="J197" i="18" s="1"/>
  <c r="L197" i="18" s="1"/>
  <c r="I74" i="18"/>
  <c r="J74" i="18" s="1"/>
  <c r="L74" i="18" s="1"/>
  <c r="I185" i="18"/>
  <c r="J185" i="18" s="1"/>
  <c r="L185" i="18" s="1"/>
  <c r="I147" i="18"/>
  <c r="J147" i="18" s="1"/>
  <c r="L147" i="18" s="1"/>
  <c r="I169" i="18"/>
  <c r="J169" i="18" s="1"/>
  <c r="L169" i="18" s="1"/>
  <c r="I67" i="18"/>
  <c r="J67" i="18" s="1"/>
  <c r="L67" i="18" s="1"/>
  <c r="I35" i="18"/>
  <c r="J35" i="18" s="1"/>
  <c r="L35" i="18" s="1"/>
  <c r="I181" i="18"/>
  <c r="J181" i="18" s="1"/>
  <c r="L181" i="18" s="1"/>
  <c r="I157" i="18"/>
  <c r="J157" i="18" s="1"/>
  <c r="L157" i="18" s="1"/>
  <c r="I164" i="18"/>
  <c r="J164" i="18" s="1"/>
  <c r="L164" i="18" s="1"/>
  <c r="I194" i="18"/>
  <c r="J194" i="18" s="1"/>
  <c r="L194" i="18" s="1"/>
  <c r="I89" i="18"/>
  <c r="J89" i="18" s="1"/>
  <c r="L89" i="18" s="1"/>
  <c r="I25" i="18"/>
  <c r="J25" i="18" s="1"/>
  <c r="L25" i="18" s="1"/>
  <c r="I37" i="18"/>
  <c r="J37" i="18" s="1"/>
  <c r="L37" i="18" s="1"/>
  <c r="I62" i="18"/>
  <c r="J62" i="18" s="1"/>
  <c r="L62" i="18" s="1"/>
  <c r="I59" i="18"/>
  <c r="J59" i="18" s="1"/>
  <c r="L59" i="18" s="1"/>
  <c r="I134" i="18"/>
  <c r="J134" i="18" s="1"/>
  <c r="L134" i="18" s="1"/>
  <c r="I143" i="18"/>
  <c r="J143" i="18" s="1"/>
  <c r="L143" i="18" s="1"/>
  <c r="I76" i="18"/>
  <c r="J76" i="18" s="1"/>
  <c r="L76" i="18" s="1"/>
  <c r="I107" i="18"/>
  <c r="J107" i="18" s="1"/>
  <c r="L107" i="18" s="1"/>
  <c r="I82" i="18"/>
  <c r="J82" i="18" s="1"/>
  <c r="L82" i="18" s="1"/>
  <c r="I87" i="18"/>
  <c r="J87" i="18" s="1"/>
  <c r="L87" i="18" s="1"/>
  <c r="I72" i="18"/>
  <c r="J72" i="18" s="1"/>
  <c r="L72" i="18" s="1"/>
  <c r="I198" i="18"/>
  <c r="J198" i="18" s="1"/>
  <c r="L198" i="18" s="1"/>
  <c r="I79" i="18"/>
  <c r="J79" i="18" s="1"/>
  <c r="L79" i="18" s="1"/>
  <c r="I43" i="18"/>
  <c r="J43" i="18" s="1"/>
  <c r="L43" i="18" s="1"/>
  <c r="I182" i="18"/>
  <c r="J182" i="18" s="1"/>
  <c r="L182" i="18" s="1"/>
  <c r="I54" i="18"/>
  <c r="J54" i="18" s="1"/>
  <c r="L54" i="18" s="1"/>
  <c r="I65" i="18"/>
  <c r="J65" i="18" s="1"/>
  <c r="L65" i="18" s="1"/>
  <c r="I200" i="18"/>
  <c r="J200" i="18" s="1"/>
  <c r="L200" i="18" s="1"/>
  <c r="I98" i="18"/>
  <c r="J98" i="18" s="1"/>
  <c r="L98" i="18" s="1"/>
  <c r="I73" i="18"/>
  <c r="J73" i="18" s="1"/>
  <c r="L73" i="18" s="1"/>
  <c r="I103" i="18"/>
  <c r="J103" i="18" s="1"/>
  <c r="L103" i="18" s="1"/>
  <c r="I173" i="18"/>
  <c r="J173" i="18" s="1"/>
  <c r="L173" i="18" s="1"/>
  <c r="I90" i="18"/>
  <c r="J90" i="18" s="1"/>
  <c r="L90" i="18" s="1"/>
  <c r="I132" i="18"/>
  <c r="J132" i="18" s="1"/>
  <c r="L132" i="18" s="1"/>
  <c r="I184" i="18"/>
  <c r="J184" i="18" s="1"/>
  <c r="L184" i="18" s="1"/>
  <c r="I47" i="18"/>
  <c r="J47" i="18" s="1"/>
  <c r="L47" i="18" s="1"/>
  <c r="I92" i="18"/>
  <c r="J92" i="18" s="1"/>
  <c r="L92" i="18" s="1"/>
  <c r="I108" i="18"/>
  <c r="J108" i="18" s="1"/>
  <c r="L108" i="18" s="1"/>
  <c r="I211" i="18"/>
  <c r="J211" i="18" s="1"/>
  <c r="L211" i="18" s="1"/>
  <c r="I142" i="18"/>
  <c r="J142" i="18" s="1"/>
  <c r="L142" i="18" s="1"/>
  <c r="I183" i="18"/>
  <c r="J183" i="18" s="1"/>
  <c r="L183" i="18" s="1"/>
  <c r="I85" i="18"/>
  <c r="J85" i="18" s="1"/>
  <c r="L85" i="18" s="1"/>
  <c r="I180" i="18"/>
  <c r="J180" i="18" s="1"/>
  <c r="L180" i="18" s="1"/>
  <c r="I40" i="18"/>
  <c r="J40" i="18" s="1"/>
  <c r="L40" i="18" s="1"/>
  <c r="I209" i="18"/>
  <c r="J209" i="18" s="1"/>
  <c r="L209" i="18" s="1"/>
  <c r="I93" i="18"/>
  <c r="J93" i="18" s="1"/>
  <c r="L93" i="18" s="1"/>
  <c r="I129" i="18"/>
  <c r="J129" i="18" s="1"/>
  <c r="L129" i="18" s="1"/>
  <c r="I139" i="18"/>
  <c r="J139" i="18" s="1"/>
  <c r="L139" i="18" s="1"/>
  <c r="I49" i="18"/>
  <c r="J49" i="18" s="1"/>
  <c r="L49" i="18" s="1"/>
  <c r="I120" i="18"/>
  <c r="J120" i="18" s="1"/>
  <c r="L120" i="18" s="1"/>
  <c r="I44" i="18"/>
  <c r="J44" i="18" s="1"/>
  <c r="L44" i="18" s="1"/>
  <c r="I178" i="18"/>
  <c r="J178" i="18" s="1"/>
  <c r="L178" i="18" s="1"/>
  <c r="I130" i="18"/>
  <c r="J130" i="18" s="1"/>
  <c r="L130" i="18" s="1"/>
  <c r="I201" i="18"/>
  <c r="J201" i="18" s="1"/>
  <c r="L201" i="18" s="1"/>
  <c r="I64" i="18"/>
  <c r="J64" i="18" s="1"/>
  <c r="L64" i="18" s="1"/>
  <c r="I26" i="18"/>
  <c r="J26" i="18" s="1"/>
  <c r="L26" i="18" s="1"/>
  <c r="I61" i="18"/>
  <c r="J61" i="18" s="1"/>
  <c r="L61" i="18" s="1"/>
  <c r="I168" i="18"/>
  <c r="J168" i="18" s="1"/>
  <c r="L168" i="18" s="1"/>
  <c r="I51" i="18"/>
  <c r="J51" i="18" s="1"/>
  <c r="L51" i="18" s="1"/>
  <c r="I57" i="18"/>
  <c r="J57" i="18" s="1"/>
  <c r="L57" i="18" s="1"/>
  <c r="I156" i="18"/>
  <c r="J156" i="18" s="1"/>
  <c r="L156" i="18" s="1"/>
  <c r="I141" i="18"/>
  <c r="J141" i="18" s="1"/>
  <c r="L141" i="18" s="1"/>
  <c r="I145" i="18"/>
  <c r="J145" i="18" s="1"/>
  <c r="L145" i="18" s="1"/>
  <c r="I50" i="18"/>
  <c r="J50" i="18" s="1"/>
  <c r="L50" i="18" s="1"/>
  <c r="I124" i="18"/>
  <c r="J124" i="18" s="1"/>
  <c r="L124" i="18" s="1"/>
  <c r="I172" i="18"/>
  <c r="J172" i="18" s="1"/>
  <c r="L172" i="18" s="1"/>
  <c r="I137" i="18"/>
  <c r="J137" i="18" s="1"/>
  <c r="L137" i="18" s="1"/>
  <c r="I69" i="18"/>
  <c r="J69" i="18" s="1"/>
  <c r="L69" i="18" s="1"/>
  <c r="I23" i="18"/>
  <c r="J23" i="18" s="1"/>
  <c r="L23" i="18" s="1"/>
  <c r="I151" i="18"/>
  <c r="J151" i="18" s="1"/>
  <c r="L151" i="18" s="1"/>
  <c r="I204" i="18"/>
  <c r="J204" i="18" s="1"/>
  <c r="L204" i="18" s="1"/>
  <c r="I109" i="18"/>
  <c r="J109" i="18" s="1"/>
  <c r="L109" i="18" s="1"/>
  <c r="I188" i="18"/>
  <c r="J188" i="18" s="1"/>
  <c r="L188" i="18" s="1"/>
  <c r="I165" i="18"/>
  <c r="J165" i="18" s="1"/>
  <c r="L165" i="18" s="1"/>
  <c r="I153" i="18"/>
  <c r="J153" i="18" s="1"/>
  <c r="L153" i="18" s="1"/>
  <c r="I161" i="18"/>
  <c r="J161" i="18" s="1"/>
  <c r="L161" i="18" s="1"/>
  <c r="I95" i="18"/>
  <c r="J95" i="18" s="1"/>
  <c r="L95" i="18" s="1"/>
  <c r="I159" i="18"/>
  <c r="J159" i="18" s="1"/>
  <c r="L159" i="18" s="1"/>
  <c r="I121" i="18"/>
  <c r="J121" i="18" s="1"/>
  <c r="L121" i="18" s="1"/>
  <c r="I42" i="18"/>
  <c r="J42" i="18" s="1"/>
  <c r="L42" i="18" s="1"/>
  <c r="I80" i="18"/>
  <c r="J80" i="18" s="1"/>
  <c r="L80" i="18" s="1"/>
  <c r="I186" i="18"/>
  <c r="J186" i="18" s="1"/>
  <c r="L186" i="18" s="1"/>
  <c r="I207" i="18"/>
  <c r="J207" i="18" s="1"/>
  <c r="L207" i="18" s="1"/>
  <c r="I105" i="18"/>
  <c r="J105" i="18" s="1"/>
  <c r="L105" i="18" s="1"/>
  <c r="I152" i="18"/>
  <c r="J152" i="18" s="1"/>
  <c r="L152" i="18" s="1"/>
  <c r="I146" i="18"/>
  <c r="J146" i="18" s="1"/>
  <c r="L146" i="18" s="1"/>
  <c r="I135" i="18"/>
  <c r="J135" i="18" s="1"/>
  <c r="L135" i="18" s="1"/>
  <c r="I39" i="18"/>
  <c r="J39" i="18" s="1"/>
  <c r="L39" i="18" s="1"/>
  <c r="I199" i="18"/>
  <c r="J199" i="18" s="1"/>
  <c r="L199" i="18" s="1"/>
  <c r="I154" i="18"/>
  <c r="J154" i="18" s="1"/>
  <c r="L154" i="18" s="1"/>
  <c r="I22" i="18"/>
  <c r="J22" i="18" s="1"/>
  <c r="L22" i="18" s="1"/>
  <c r="I189" i="18"/>
  <c r="J189" i="18" s="1"/>
  <c r="L189" i="18" s="1"/>
  <c r="I86" i="18"/>
  <c r="J86" i="18" s="1"/>
  <c r="L86" i="18" s="1"/>
  <c r="I149" i="18"/>
  <c r="J149" i="18" s="1"/>
  <c r="L149" i="18" s="1"/>
  <c r="I162" i="18"/>
  <c r="J162" i="18" s="1"/>
  <c r="L162" i="18" s="1"/>
  <c r="I104" i="18"/>
  <c r="J104" i="18" s="1"/>
  <c r="L104" i="18" s="1"/>
  <c r="I48" i="18"/>
  <c r="J48" i="18" s="1"/>
  <c r="L48" i="18" s="1"/>
  <c r="I84" i="18"/>
  <c r="J84" i="18" s="1"/>
  <c r="L84" i="18" s="1"/>
  <c r="I63" i="18"/>
  <c r="J63" i="18" s="1"/>
  <c r="L63" i="18" s="1"/>
  <c r="I20" i="18"/>
  <c r="J20" i="18" s="1"/>
  <c r="I140" i="18"/>
  <c r="J140" i="18" s="1"/>
  <c r="L140" i="18" s="1"/>
  <c r="I118" i="18"/>
  <c r="J118" i="18" s="1"/>
  <c r="L118" i="18" s="1"/>
  <c r="I71" i="18"/>
  <c r="J71" i="18" s="1"/>
  <c r="L71" i="18" s="1"/>
  <c r="I127" i="18"/>
  <c r="J127" i="18" s="1"/>
  <c r="L127" i="18" s="1"/>
  <c r="I171" i="18"/>
  <c r="J171" i="18" s="1"/>
  <c r="L171" i="18" s="1"/>
  <c r="I81" i="18"/>
  <c r="J81" i="18" s="1"/>
  <c r="L81" i="18" s="1"/>
  <c r="I176" i="18"/>
  <c r="J176" i="18" s="1"/>
  <c r="L176" i="18" s="1"/>
  <c r="I163" i="18"/>
  <c r="J163" i="18" s="1"/>
  <c r="L163" i="18" s="1"/>
  <c r="I77" i="18"/>
  <c r="J77" i="18" s="1"/>
  <c r="L77" i="18" s="1"/>
  <c r="I91" i="18"/>
  <c r="J91" i="18" s="1"/>
  <c r="L91" i="18" s="1"/>
  <c r="I196" i="18"/>
  <c r="J196" i="18" s="1"/>
  <c r="L196" i="18" s="1"/>
  <c r="I131" i="18"/>
  <c r="J131" i="18" s="1"/>
  <c r="L131" i="18" s="1"/>
  <c r="I133" i="18"/>
  <c r="J133" i="18" s="1"/>
  <c r="L133" i="18" s="1"/>
  <c r="I193" i="18"/>
  <c r="J193" i="18" s="1"/>
  <c r="L193" i="18" s="1"/>
  <c r="I138" i="18"/>
  <c r="J138" i="18" s="1"/>
  <c r="L138" i="18" s="1"/>
  <c r="I70" i="18"/>
  <c r="J70" i="18" s="1"/>
  <c r="L70" i="18" s="1"/>
  <c r="I128" i="18"/>
  <c r="J128" i="18" s="1"/>
  <c r="L128" i="18" s="1"/>
  <c r="I179" i="18"/>
  <c r="J179" i="18" s="1"/>
  <c r="L179" i="18" s="1"/>
  <c r="I113" i="18"/>
  <c r="J113" i="18" s="1"/>
  <c r="L113" i="18" s="1"/>
  <c r="I52" i="18"/>
  <c r="J52" i="18" s="1"/>
  <c r="L52" i="18" s="1"/>
  <c r="I46" i="18"/>
  <c r="J46" i="18" s="1"/>
  <c r="L46" i="18" s="1"/>
  <c r="I100" i="18"/>
  <c r="J100" i="18" s="1"/>
  <c r="L100" i="18" s="1"/>
  <c r="I114" i="18"/>
  <c r="J114" i="18" s="1"/>
  <c r="L114" i="18" s="1"/>
  <c r="I101" i="18"/>
  <c r="J101" i="18" s="1"/>
  <c r="L101" i="18" s="1"/>
  <c r="I31" i="18"/>
  <c r="J31" i="18" s="1"/>
  <c r="L31" i="18" s="1"/>
  <c r="I34" i="18"/>
  <c r="J34" i="18" s="1"/>
  <c r="L34" i="18" s="1"/>
  <c r="I110" i="18"/>
  <c r="J110" i="18" s="1"/>
  <c r="L110" i="18" s="1"/>
  <c r="I119" i="18"/>
  <c r="J119" i="18" s="1"/>
  <c r="L119" i="18" s="1"/>
  <c r="I29" i="18"/>
  <c r="J29" i="18" s="1"/>
  <c r="L29" i="18" s="1"/>
  <c r="I58" i="18"/>
  <c r="J58" i="18" s="1"/>
  <c r="L58" i="18" s="1"/>
  <c r="I102" i="18"/>
  <c r="J102" i="18" s="1"/>
  <c r="L102" i="18" s="1"/>
  <c r="I122" i="18"/>
  <c r="J122" i="18" s="1"/>
  <c r="L122" i="18" s="1"/>
  <c r="I205" i="18"/>
  <c r="J205" i="18" s="1"/>
  <c r="L205" i="18" s="1"/>
  <c r="F14" i="29"/>
  <c r="L56" i="18" l="1"/>
  <c r="J13" i="18"/>
  <c r="J14" i="18"/>
  <c r="L20" i="18"/>
  <c r="J212" i="18"/>
  <c r="L212" i="18" l="1"/>
  <c r="L14" i="18"/>
  <c r="L13" i="18"/>
  <c r="M34" i="18" l="1"/>
  <c r="N34" i="18" s="1"/>
  <c r="R34" i="18" s="1"/>
  <c r="M44" i="18"/>
  <c r="N44" i="18" s="1"/>
  <c r="R44" i="18" s="1"/>
  <c r="M32" i="18"/>
  <c r="N32" i="18" s="1"/>
  <c r="R32" i="18" s="1"/>
  <c r="M103" i="18"/>
  <c r="N103" i="18" s="1"/>
  <c r="R103" i="18" s="1"/>
  <c r="M162" i="18"/>
  <c r="N162" i="18" s="1"/>
  <c r="R162" i="18" s="1"/>
  <c r="M184" i="18"/>
  <c r="N184" i="18" s="1"/>
  <c r="R184" i="18" s="1"/>
  <c r="M179" i="18"/>
  <c r="N179" i="18" s="1"/>
  <c r="R179" i="18" s="1"/>
  <c r="M41" i="18"/>
  <c r="N41" i="18" s="1"/>
  <c r="R41" i="18" s="1"/>
  <c r="M145" i="18"/>
  <c r="N145" i="18" s="1"/>
  <c r="R145" i="18" s="1"/>
  <c r="M200" i="18"/>
  <c r="N200" i="18" s="1"/>
  <c r="R200" i="18" s="1"/>
  <c r="M154" i="18"/>
  <c r="N154" i="18" s="1"/>
  <c r="R154" i="18" s="1"/>
  <c r="M112" i="18"/>
  <c r="N112" i="18" s="1"/>
  <c r="R112" i="18" s="1"/>
  <c r="M120" i="18"/>
  <c r="N120" i="18" s="1"/>
  <c r="R120" i="18" s="1"/>
  <c r="M61" i="18"/>
  <c r="N61" i="18" s="1"/>
  <c r="R61" i="18" s="1"/>
  <c r="M86" i="18"/>
  <c r="N86" i="18" s="1"/>
  <c r="R86" i="18" s="1"/>
  <c r="M183" i="18"/>
  <c r="N183" i="18" s="1"/>
  <c r="R183" i="18" s="1"/>
  <c r="M176" i="18"/>
  <c r="N176" i="18" s="1"/>
  <c r="R176" i="18" s="1"/>
  <c r="M113" i="18"/>
  <c r="N113" i="18" s="1"/>
  <c r="R113" i="18" s="1"/>
  <c r="M46" i="18"/>
  <c r="N46" i="18" s="1"/>
  <c r="R46" i="18" s="1"/>
  <c r="M151" i="18"/>
  <c r="N151" i="18" s="1"/>
  <c r="R151" i="18" s="1"/>
  <c r="M71" i="18"/>
  <c r="N71" i="18" s="1"/>
  <c r="R71" i="18" s="1"/>
  <c r="M149" i="18"/>
  <c r="N149" i="18" s="1"/>
  <c r="R149" i="18" s="1"/>
  <c r="M76" i="18"/>
  <c r="N76" i="18" s="1"/>
  <c r="R76" i="18" s="1"/>
  <c r="M72" i="18"/>
  <c r="N72" i="18" s="1"/>
  <c r="R72" i="18" s="1"/>
  <c r="M110" i="18"/>
  <c r="N110" i="18" s="1"/>
  <c r="R110" i="18" s="1"/>
  <c r="M204" i="18"/>
  <c r="N204" i="18" s="1"/>
  <c r="R204" i="18" s="1"/>
  <c r="M144" i="18"/>
  <c r="N144" i="18" s="1"/>
  <c r="R144" i="18" s="1"/>
  <c r="M102" i="18"/>
  <c r="N102" i="18" s="1"/>
  <c r="R102" i="18" s="1"/>
  <c r="M90" i="18"/>
  <c r="N90" i="18" s="1"/>
  <c r="R90" i="18" s="1"/>
  <c r="M24" i="18"/>
  <c r="N24" i="18" s="1"/>
  <c r="R24" i="18" s="1"/>
  <c r="M158" i="18"/>
  <c r="N158" i="18" s="1"/>
  <c r="R158" i="18" s="1"/>
  <c r="M100" i="18"/>
  <c r="N100" i="18" s="1"/>
  <c r="R100" i="18" s="1"/>
  <c r="M65" i="18"/>
  <c r="N65" i="18" s="1"/>
  <c r="R65" i="18" s="1"/>
  <c r="M199" i="18"/>
  <c r="N199" i="18" s="1"/>
  <c r="R199" i="18" s="1"/>
  <c r="M23" i="18"/>
  <c r="N23" i="18" s="1"/>
  <c r="R23" i="18" s="1"/>
  <c r="M130" i="18"/>
  <c r="N130" i="18" s="1"/>
  <c r="R130" i="18" s="1"/>
  <c r="M82" i="18"/>
  <c r="N82" i="18" s="1"/>
  <c r="R82" i="18" s="1"/>
  <c r="M101" i="18"/>
  <c r="N101" i="18" s="1"/>
  <c r="R101" i="18" s="1"/>
  <c r="M97" i="18"/>
  <c r="N97" i="18" s="1"/>
  <c r="R97" i="18" s="1"/>
  <c r="M203" i="18"/>
  <c r="N203" i="18" s="1"/>
  <c r="R203" i="18" s="1"/>
  <c r="M85" i="18"/>
  <c r="N85" i="18" s="1"/>
  <c r="R85" i="18" s="1"/>
  <c r="M171" i="18"/>
  <c r="N171" i="18" s="1"/>
  <c r="R171" i="18" s="1"/>
  <c r="M140" i="18"/>
  <c r="N140" i="18" s="1"/>
  <c r="R140" i="18" s="1"/>
  <c r="M77" i="18"/>
  <c r="N77" i="18" s="1"/>
  <c r="R77" i="18" s="1"/>
  <c r="M95" i="18"/>
  <c r="N95" i="18" s="1"/>
  <c r="R95" i="18" s="1"/>
  <c r="M78" i="18"/>
  <c r="N78" i="18" s="1"/>
  <c r="R78" i="18" s="1"/>
  <c r="M47" i="18"/>
  <c r="N47" i="18" s="1"/>
  <c r="R47" i="18" s="1"/>
  <c r="M122" i="18"/>
  <c r="N122" i="18" s="1"/>
  <c r="R122" i="18" s="1"/>
  <c r="M62" i="18"/>
  <c r="N62" i="18" s="1"/>
  <c r="R62" i="18" s="1"/>
  <c r="M22" i="18"/>
  <c r="N22" i="18" s="1"/>
  <c r="R22" i="18" s="1"/>
  <c r="M198" i="18"/>
  <c r="N198" i="18" s="1"/>
  <c r="R198" i="18" s="1"/>
  <c r="M150" i="18"/>
  <c r="N150" i="18" s="1"/>
  <c r="R150" i="18" s="1"/>
  <c r="M201" i="18"/>
  <c r="N201" i="18" s="1"/>
  <c r="R201" i="18" s="1"/>
  <c r="M93" i="18"/>
  <c r="N93" i="18" s="1"/>
  <c r="R93" i="18" s="1"/>
  <c r="M26" i="18"/>
  <c r="N26" i="18" s="1"/>
  <c r="R26" i="18" s="1"/>
  <c r="M190" i="18"/>
  <c r="N190" i="18" s="1"/>
  <c r="R190" i="18" s="1"/>
  <c r="M87" i="18"/>
  <c r="N87" i="18" s="1"/>
  <c r="R87" i="18" s="1"/>
  <c r="M38" i="18"/>
  <c r="N38" i="18" s="1"/>
  <c r="R38" i="18" s="1"/>
  <c r="M193" i="18"/>
  <c r="N193" i="18" s="1"/>
  <c r="R193" i="18" s="1"/>
  <c r="M136" i="18"/>
  <c r="N136" i="18" s="1"/>
  <c r="R136" i="18" s="1"/>
  <c r="M143" i="18"/>
  <c r="N143" i="18" s="1"/>
  <c r="R143" i="18" s="1"/>
  <c r="M153" i="18"/>
  <c r="N153" i="18" s="1"/>
  <c r="R153" i="18" s="1"/>
  <c r="M132" i="18"/>
  <c r="N132" i="18" s="1"/>
  <c r="R132" i="18" s="1"/>
  <c r="M147" i="18"/>
  <c r="N147" i="18" s="1"/>
  <c r="R147" i="18" s="1"/>
  <c r="M174" i="18"/>
  <c r="N174" i="18" s="1"/>
  <c r="R174" i="18" s="1"/>
  <c r="M180" i="18"/>
  <c r="N180" i="18" s="1"/>
  <c r="R180" i="18" s="1"/>
  <c r="M194" i="18"/>
  <c r="N194" i="18" s="1"/>
  <c r="R194" i="18" s="1"/>
  <c r="M81" i="18"/>
  <c r="N81" i="18" s="1"/>
  <c r="R81" i="18" s="1"/>
  <c r="M131" i="18"/>
  <c r="N131" i="18" s="1"/>
  <c r="R131" i="18" s="1"/>
  <c r="M88" i="18"/>
  <c r="N88" i="18" s="1"/>
  <c r="R88" i="18" s="1"/>
  <c r="M60" i="18"/>
  <c r="N60" i="18" s="1"/>
  <c r="R60" i="18" s="1"/>
  <c r="M52" i="18"/>
  <c r="N52" i="18" s="1"/>
  <c r="R52" i="18" s="1"/>
  <c r="M148" i="18"/>
  <c r="N148" i="18" s="1"/>
  <c r="R148" i="18" s="1"/>
  <c r="M37" i="18"/>
  <c r="N37" i="18" s="1"/>
  <c r="R37" i="18" s="1"/>
  <c r="M166" i="18"/>
  <c r="N166" i="18" s="1"/>
  <c r="R166" i="18" s="1"/>
  <c r="M98" i="18"/>
  <c r="N98" i="18" s="1"/>
  <c r="R98" i="18" s="1"/>
  <c r="M89" i="18"/>
  <c r="N89" i="18" s="1"/>
  <c r="R89" i="18" s="1"/>
  <c r="M205" i="18"/>
  <c r="N205" i="18" s="1"/>
  <c r="R205" i="18" s="1"/>
  <c r="M127" i="18"/>
  <c r="N127" i="18" s="1"/>
  <c r="R127" i="18" s="1"/>
  <c r="M173" i="18"/>
  <c r="N173" i="18" s="1"/>
  <c r="R173" i="18" s="1"/>
  <c r="M30" i="18"/>
  <c r="N30" i="18" s="1"/>
  <c r="R30" i="18" s="1"/>
  <c r="M67" i="18"/>
  <c r="N67" i="18" s="1"/>
  <c r="R67" i="18" s="1"/>
  <c r="M40" i="18"/>
  <c r="N40" i="18" s="1"/>
  <c r="R40" i="18" s="1"/>
  <c r="M196" i="18"/>
  <c r="N196" i="18" s="1"/>
  <c r="R196" i="18" s="1"/>
  <c r="M187" i="18"/>
  <c r="N187" i="18" s="1"/>
  <c r="R187" i="18" s="1"/>
  <c r="M126" i="18"/>
  <c r="N126" i="18" s="1"/>
  <c r="R126" i="18" s="1"/>
  <c r="M29" i="18"/>
  <c r="N29" i="18" s="1"/>
  <c r="R29" i="18" s="1"/>
  <c r="M104" i="18"/>
  <c r="N104" i="18" s="1"/>
  <c r="R104" i="18" s="1"/>
  <c r="M182" i="18"/>
  <c r="N182" i="18" s="1"/>
  <c r="R182" i="18" s="1"/>
  <c r="M42" i="18"/>
  <c r="N42" i="18" s="1"/>
  <c r="R42" i="18" s="1"/>
  <c r="M177" i="18"/>
  <c r="N177" i="18" s="1"/>
  <c r="R177" i="18" s="1"/>
  <c r="M197" i="18"/>
  <c r="N197" i="18" s="1"/>
  <c r="R197" i="18" s="1"/>
  <c r="M21" i="18"/>
  <c r="N21" i="18" s="1"/>
  <c r="R21" i="18" s="1"/>
  <c r="M28" i="18"/>
  <c r="N28" i="18" s="1"/>
  <c r="R28" i="18" s="1"/>
  <c r="M94" i="18"/>
  <c r="N94" i="18" s="1"/>
  <c r="R94" i="18" s="1"/>
  <c r="M70" i="18"/>
  <c r="N70" i="18" s="1"/>
  <c r="R70" i="18" s="1"/>
  <c r="M55" i="18"/>
  <c r="N55" i="18" s="1"/>
  <c r="R55" i="18" s="1"/>
  <c r="M164" i="18"/>
  <c r="N164" i="18" s="1"/>
  <c r="R164" i="18" s="1"/>
  <c r="M114" i="18"/>
  <c r="N114" i="18" s="1"/>
  <c r="R114" i="18" s="1"/>
  <c r="M156" i="18"/>
  <c r="N156" i="18" s="1"/>
  <c r="R156" i="18" s="1"/>
  <c r="M189" i="18"/>
  <c r="N189" i="18" s="1"/>
  <c r="R189" i="18" s="1"/>
  <c r="M45" i="18"/>
  <c r="N45" i="18" s="1"/>
  <c r="R45" i="18" s="1"/>
  <c r="M31" i="18"/>
  <c r="N31" i="18" s="1"/>
  <c r="R31" i="18" s="1"/>
  <c r="M163" i="18"/>
  <c r="N163" i="18" s="1"/>
  <c r="R163" i="18" s="1"/>
  <c r="M207" i="18"/>
  <c r="N207" i="18" s="1"/>
  <c r="R207" i="18" s="1"/>
  <c r="M84" i="18"/>
  <c r="N84" i="18" s="1"/>
  <c r="R84" i="18" s="1"/>
  <c r="M185" i="18"/>
  <c r="N185" i="18" s="1"/>
  <c r="R185" i="18" s="1"/>
  <c r="M36" i="18"/>
  <c r="N36" i="18" s="1"/>
  <c r="R36" i="18" s="1"/>
  <c r="M134" i="18"/>
  <c r="N134" i="18" s="1"/>
  <c r="R134" i="18" s="1"/>
  <c r="M159" i="18"/>
  <c r="N159" i="18" s="1"/>
  <c r="R159" i="18" s="1"/>
  <c r="M146" i="18"/>
  <c r="N146" i="18" s="1"/>
  <c r="R146" i="18" s="1"/>
  <c r="M168" i="18"/>
  <c r="N168" i="18" s="1"/>
  <c r="R168" i="18" s="1"/>
  <c r="M48" i="18"/>
  <c r="N48" i="18" s="1"/>
  <c r="R48" i="18" s="1"/>
  <c r="M68" i="18"/>
  <c r="N68" i="18" s="1"/>
  <c r="R68" i="18" s="1"/>
  <c r="M96" i="18"/>
  <c r="N96" i="18" s="1"/>
  <c r="R96" i="18" s="1"/>
  <c r="M54" i="18"/>
  <c r="N54" i="18" s="1"/>
  <c r="R54" i="18" s="1"/>
  <c r="M167" i="18"/>
  <c r="N167" i="18" s="1"/>
  <c r="R167" i="18" s="1"/>
  <c r="M161" i="18"/>
  <c r="N161" i="18" s="1"/>
  <c r="R161" i="18" s="1"/>
  <c r="M56" i="18"/>
  <c r="M69" i="18"/>
  <c r="N69" i="18" s="1"/>
  <c r="R69" i="18" s="1"/>
  <c r="M57" i="18"/>
  <c r="N57" i="18" s="1"/>
  <c r="R57" i="18" s="1"/>
  <c r="M202" i="18"/>
  <c r="N202" i="18" s="1"/>
  <c r="R202" i="18" s="1"/>
  <c r="M195" i="18"/>
  <c r="N195" i="18" s="1"/>
  <c r="R195" i="18" s="1"/>
  <c r="M128" i="18"/>
  <c r="N128" i="18" s="1"/>
  <c r="R128" i="18" s="1"/>
  <c r="M116" i="18"/>
  <c r="N116" i="18" s="1"/>
  <c r="R116" i="18" s="1"/>
  <c r="M111" i="18"/>
  <c r="N111" i="18" s="1"/>
  <c r="R111" i="18" s="1"/>
  <c r="M63" i="18"/>
  <c r="N63" i="18" s="1"/>
  <c r="R63" i="18" s="1"/>
  <c r="M119" i="18"/>
  <c r="N119" i="18" s="1"/>
  <c r="R119" i="18" s="1"/>
  <c r="M73" i="18"/>
  <c r="N73" i="18" s="1"/>
  <c r="R73" i="18" s="1"/>
  <c r="M178" i="18"/>
  <c r="N178" i="18" s="1"/>
  <c r="R178" i="18" s="1"/>
  <c r="M121" i="18"/>
  <c r="N121" i="18" s="1"/>
  <c r="R121" i="18" s="1"/>
  <c r="M108" i="18"/>
  <c r="N108" i="18" s="1"/>
  <c r="R108" i="18" s="1"/>
  <c r="M20" i="18"/>
  <c r="M118" i="18"/>
  <c r="N118" i="18" s="1"/>
  <c r="R118" i="18" s="1"/>
  <c r="M133" i="18"/>
  <c r="N133" i="18" s="1"/>
  <c r="R133" i="18" s="1"/>
  <c r="M79" i="18"/>
  <c r="N79" i="18" s="1"/>
  <c r="R79" i="18" s="1"/>
  <c r="M117" i="18"/>
  <c r="N117" i="18" s="1"/>
  <c r="R117" i="18" s="1"/>
  <c r="M152" i="18"/>
  <c r="N152" i="18" s="1"/>
  <c r="R152" i="18" s="1"/>
  <c r="M80" i="18"/>
  <c r="N80" i="18" s="1"/>
  <c r="R80" i="18" s="1"/>
  <c r="M211" i="18"/>
  <c r="N211" i="18" s="1"/>
  <c r="R211" i="18" s="1"/>
  <c r="M107" i="18"/>
  <c r="N107" i="18" s="1"/>
  <c r="R107" i="18" s="1"/>
  <c r="M33" i="18"/>
  <c r="N33" i="18" s="1"/>
  <c r="R33" i="18" s="1"/>
  <c r="M35" i="18"/>
  <c r="N35" i="18" s="1"/>
  <c r="R35" i="18" s="1"/>
  <c r="M125" i="18"/>
  <c r="N125" i="18" s="1"/>
  <c r="R125" i="18" s="1"/>
  <c r="M135" i="18"/>
  <c r="N135" i="18" s="1"/>
  <c r="R135" i="18" s="1"/>
  <c r="M157" i="18"/>
  <c r="N157" i="18" s="1"/>
  <c r="R157" i="18" s="1"/>
  <c r="M175" i="18"/>
  <c r="N175" i="18" s="1"/>
  <c r="R175" i="18" s="1"/>
  <c r="M27" i="18"/>
  <c r="N27" i="18" s="1"/>
  <c r="R27" i="18" s="1"/>
  <c r="M74" i="18"/>
  <c r="N74" i="18" s="1"/>
  <c r="R74" i="18" s="1"/>
  <c r="M115" i="18"/>
  <c r="N115" i="18" s="1"/>
  <c r="R115" i="18" s="1"/>
  <c r="M129" i="18"/>
  <c r="N129" i="18" s="1"/>
  <c r="R129" i="18" s="1"/>
  <c r="M106" i="18"/>
  <c r="N106" i="18" s="1"/>
  <c r="R106" i="18" s="1"/>
  <c r="M58" i="18"/>
  <c r="N58" i="18" s="1"/>
  <c r="R58" i="18" s="1"/>
  <c r="M91" i="18"/>
  <c r="N91" i="18" s="1"/>
  <c r="R91" i="18" s="1"/>
  <c r="M209" i="18"/>
  <c r="N209" i="18" s="1"/>
  <c r="R209" i="18" s="1"/>
  <c r="M186" i="18"/>
  <c r="N186" i="18" s="1"/>
  <c r="R186" i="18" s="1"/>
  <c r="M92" i="18"/>
  <c r="N92" i="18" s="1"/>
  <c r="R92" i="18" s="1"/>
  <c r="M39" i="18"/>
  <c r="N39" i="18" s="1"/>
  <c r="R39" i="18" s="1"/>
  <c r="M137" i="18"/>
  <c r="N137" i="18" s="1"/>
  <c r="R137" i="18" s="1"/>
  <c r="M170" i="18"/>
  <c r="N170" i="18" s="1"/>
  <c r="R170" i="18" s="1"/>
  <c r="M142" i="18"/>
  <c r="N142" i="18" s="1"/>
  <c r="R142" i="18" s="1"/>
  <c r="M43" i="18"/>
  <c r="N43" i="18" s="1"/>
  <c r="R43" i="18" s="1"/>
  <c r="M191" i="18"/>
  <c r="N191" i="18" s="1"/>
  <c r="R191" i="18" s="1"/>
  <c r="M105" i="18"/>
  <c r="N105" i="18" s="1"/>
  <c r="R105" i="18" s="1"/>
  <c r="M25" i="18"/>
  <c r="N25" i="18" s="1"/>
  <c r="R25" i="18" s="1"/>
  <c r="M160" i="18"/>
  <c r="N160" i="18" s="1"/>
  <c r="R160" i="18" s="1"/>
  <c r="M75" i="18"/>
  <c r="N75" i="18" s="1"/>
  <c r="R75" i="18" s="1"/>
  <c r="M139" i="18"/>
  <c r="N139" i="18" s="1"/>
  <c r="R139" i="18" s="1"/>
  <c r="M124" i="18"/>
  <c r="N124" i="18" s="1"/>
  <c r="R124" i="18" s="1"/>
  <c r="M141" i="18"/>
  <c r="N141" i="18" s="1"/>
  <c r="R141" i="18" s="1"/>
  <c r="M123" i="18"/>
  <c r="N123" i="18" s="1"/>
  <c r="R123" i="18" s="1"/>
  <c r="M172" i="18"/>
  <c r="N172" i="18" s="1"/>
  <c r="R172" i="18" s="1"/>
  <c r="M59" i="18"/>
  <c r="N59" i="18" s="1"/>
  <c r="R59" i="18" s="1"/>
  <c r="M66" i="18"/>
  <c r="N66" i="18" s="1"/>
  <c r="R66" i="18" s="1"/>
  <c r="M208" i="18"/>
  <c r="N208" i="18" s="1"/>
  <c r="R208" i="18" s="1"/>
  <c r="M53" i="18"/>
  <c r="N53" i="18" s="1"/>
  <c r="R53" i="18" s="1"/>
  <c r="M210" i="18"/>
  <c r="N210" i="18" s="1"/>
  <c r="R210" i="18" s="1"/>
  <c r="M64" i="18"/>
  <c r="N64" i="18" s="1"/>
  <c r="R64" i="18" s="1"/>
  <c r="M192" i="18"/>
  <c r="N192" i="18" s="1"/>
  <c r="R192" i="18" s="1"/>
  <c r="M83" i="18"/>
  <c r="N83" i="18" s="1"/>
  <c r="R83" i="18" s="1"/>
  <c r="M50" i="18"/>
  <c r="N50" i="18" s="1"/>
  <c r="R50" i="18" s="1"/>
  <c r="M155" i="18"/>
  <c r="N155" i="18" s="1"/>
  <c r="R155" i="18" s="1"/>
  <c r="M188" i="18"/>
  <c r="N188" i="18" s="1"/>
  <c r="R188" i="18" s="1"/>
  <c r="M49" i="18"/>
  <c r="N49" i="18" s="1"/>
  <c r="R49" i="18" s="1"/>
  <c r="M138" i="18"/>
  <c r="N138" i="18" s="1"/>
  <c r="R138" i="18" s="1"/>
  <c r="M181" i="18"/>
  <c r="N181" i="18" s="1"/>
  <c r="R181" i="18" s="1"/>
  <c r="M206" i="18"/>
  <c r="N206" i="18" s="1"/>
  <c r="R206" i="18" s="1"/>
  <c r="M99" i="18"/>
  <c r="N99" i="18" s="1"/>
  <c r="R99" i="18" s="1"/>
  <c r="M51" i="18"/>
  <c r="N51" i="18" s="1"/>
  <c r="R51" i="18" s="1"/>
  <c r="M169" i="18"/>
  <c r="N169" i="18" s="1"/>
  <c r="R169" i="18" s="1"/>
  <c r="M165" i="18"/>
  <c r="N165" i="18" s="1"/>
  <c r="R165" i="18" s="1"/>
  <c r="M109" i="18"/>
  <c r="N109" i="18" s="1"/>
  <c r="R109" i="18" s="1"/>
  <c r="M13" i="18" l="1"/>
  <c r="N56" i="18"/>
  <c r="M212" i="18"/>
  <c r="N20" i="18"/>
  <c r="N14" i="18" l="1"/>
  <c r="R20" i="18"/>
  <c r="R56" i="18"/>
  <c r="R13" i="18" s="1"/>
  <c r="N13" i="18"/>
  <c r="R14" i="18" l="1"/>
  <c r="R21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<sst xmlns="http://schemas.openxmlformats.org/spreadsheetml/2006/main" count="421" uniqueCount="105">
  <si>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</si>
  <si>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</si>
  <si>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</si>
  <si>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</si>
  <si>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</si>
  <si>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</si>
  <si>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</si>
  <si>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</si>
  <si>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</si>
  <si>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</si>
  <si>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</si>
  <si>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</si>
  <si>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</si>
  <si>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</si>
  <si>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</si>
  <si>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</si>
  <si>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</si>
  <si>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</si>
  <si>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</si>
  <si>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</si>
  <si>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</si>
  <si>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</si>
  <si>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</si>
  <si>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</si>
  <si>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</si>
  <si>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</si>
  <si>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</si>
  <si>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</si>
  <si>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</si>
  <si>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</si>
  <si>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</si>
  <si>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</si>
  <si>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</si>
  <si>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</si>
  <si>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</si>
  <si>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</si>
  <si>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</si>
  <si>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</si>
  <si>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</si>
  <si>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</si>
  <si>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</si>
  <si>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</si>
  <si>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</si>
  <si>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</si>
  <si>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</si>
  <si>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</si>
  <si>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</si>
  <si>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</si>
  <si>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</si>
  <si>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</si>
  <si>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</si>
  <si>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</si>
  <si>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</si>
  <si>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</si>
  <si>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</si>
  <si>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</si>
  <si>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</si>
  <si>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</si>
  <si>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</si>
  <si>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</si>
  <si>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</si>
  <si>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</si>
  <si>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</si>
  <si>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</si>
  <si>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</si>
  <si>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</si>
  <si>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</si>
  <si>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</si>
  <si>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</si>
  <si>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</si>
  <si>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</si>
  <si>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</si>
  <si>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</si>
  <si>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</si>
  <si>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</si>
  <si>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</si>
  <si>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</si>
  <si>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</si>
  <si>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</si>
  <si>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</si>
  <si>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</si>
  <si>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</si>
  <si>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</si>
  <si>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</si>
  <si>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</si>
  <si>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</si>
  <si>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</si>
  <si>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</si>
  <si>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</si>
  <si>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</si>
  <si>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</si>
  <si>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</si>
  <si>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</si>
  <si>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</si>
  <si>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</si>
  <si>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</si>
  <si>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</si>
  <si>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2017 ROE Refund</t>
  </si>
  <si>
    <t>AEPTCo Formula Rate -- FERC Docket ER18-195</t>
  </si>
  <si>
    <t>2019 Tax True Up</t>
  </si>
  <si>
    <t>2020 True Up Including Interest</t>
  </si>
  <si>
    <r>
      <t>2021 True-Up
(</t>
    </r>
    <r>
      <rPr>
        <sz val="10"/>
        <rFont val="Arial"/>
        <family val="2"/>
      </rPr>
      <t>w/o Interest)</t>
    </r>
  </si>
  <si>
    <t>2021 Interest</t>
  </si>
  <si>
    <t>Total 2021
True-Up Surcharge / (Refund)</t>
  </si>
  <si>
    <t>Total NITS Surcharge /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</si>
</sst>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  <numFmt numFmtId="169" formatCode="&quot;$&quot;#,##0.00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5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169" fontId="6" fillId="0" borderId="0" xfId="0" applyNumberFormat="1" applyFont="1" applyBorder="1" applyProtection="1"/>
    <xf numFmtId="164" fontId="4" fillId="0" borderId="14" xfId="0" quotePrefix="1" applyNumberFormat="1" applyFont="1" applyFill="1" applyBorder="1" applyAlignment="1" applyProtection="1">
      <alignment horizontal="center" wrapText="1"/>
    </xf>
    <xf numFmtId="164" fontId="4" fillId="0" borderId="23" xfId="0" quotePrefix="1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left" vertical="center"/>
    </xf>
    <xf numFmtId="0" fontId="4" fillId="0" borderId="23" xfId="0" quotePrefix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/>
    </xf>
    <xf numFmtId="166" fontId="14" fillId="0" borderId="43" xfId="0" applyNumberFormat="1" applyFont="1" applyBorder="1" applyProtection="1"/>
    <xf numFmtId="166" fontId="14" fillId="0" borderId="0" xfId="0" applyNumberFormat="1" applyFont="1" applyProtection="1"/>
    <xf numFmtId="166" fontId="14" fillId="0" borderId="44" xfId="0" applyNumberFormat="1" applyFont="1" applyBorder="1" applyProtection="1"/>
    <xf numFmtId="166" fontId="14" fillId="0" borderId="38" xfId="0" applyNumberFormat="1" applyFont="1" applyBorder="1" applyProtection="1"/>
    <xf numFmtId="166" fontId="14" fillId="0" borderId="41" xfId="0" applyNumberFormat="1" applyFont="1" applyBorder="1" applyProtection="1"/>
    <xf numFmtId="166" fontId="14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10.802125578703" createdVersion="6" refreshedVersion="7" recordCount="192" xr:uid="{00000000-000A-0000-FFFF-FFFFEA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2195.4899999999998" maxValue="2195.4899999999998"/>
    </cacheField>
    <cacheField name="Actual True-Up Rate" numFmtId="0">
      <sharedItems containsSemiMixedTypes="0" containsString="0" containsNumber="1" minValue="2247.39" maxValue="2247.39"/>
    </cacheField>
    <cacheField name="True-Up Charge" numFmtId="164">
      <sharedItems containsSemiMixedTypes="0" containsString="0" containsNumber="1" minValue="2247.39" maxValue="9054734.3099999987"/>
    </cacheField>
    <cacheField name="Invoiced*** Charge (proj.)" numFmtId="164">
      <sharedItems containsSemiMixedTypes="0" containsString="0" containsNumber="1" minValue="2195.4899999999998" maxValue="8845629.209999999"/>
    </cacheField>
    <cacheField name="True-Up w/o Interest" numFmtId="164">
      <sharedItems containsSemiMixedTypes="0" containsString="0" containsNumber="1" minValue="51.900000000000091" maxValue="209105.09999999963"/>
    </cacheField>
    <cacheField name="Interest" numFmtId="164">
      <sharedItems containsSemiMixedTypes="0" containsString="0" containsNumber="1" minValue="1.6563112941556124" maxValue="6673.2782041529626"/>
    </cacheField>
    <cacheField name="2020 True Up Including Interest" numFmtId="164">
      <sharedItems containsSemiMixedTypes="0" containsString="0" containsNumber="1" minValue="53.556311294155705" maxValue="215778.3782041526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53.556311294155705" maxValue="215778.37820415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2195.4899999999998"/>
    <n v="2247.39"/>
    <n v="5699381.04"/>
    <n v="5567762.6399999997"/>
    <n v="131618.40000000037"/>
    <n v="4200.4054419786326"/>
    <n v="135818.805441979"/>
    <n v="0"/>
    <n v="0"/>
    <n v="0"/>
    <n v="135818.805441979"/>
  </r>
  <r>
    <x v="1"/>
    <d v="2021-03-03T00:00:00"/>
    <d v="2021-03-24T00:00:00"/>
    <x v="0"/>
    <n v="9"/>
    <n v="2976"/>
    <n v="2195.4899999999998"/>
    <n v="2247.39"/>
    <n v="6688232.6399999997"/>
    <n v="6533778.2399999993"/>
    <n v="154454.40000000037"/>
    <n v="4929.1824114071023"/>
    <n v="159383.58241140746"/>
    <n v="0"/>
    <n v="0"/>
    <n v="0"/>
    <n v="159383.58241140746"/>
  </r>
  <r>
    <x v="2"/>
    <d v="2021-04-05T00:00:00"/>
    <d v="2021-04-26T00:00:00"/>
    <x v="0"/>
    <n v="9"/>
    <n v="2203"/>
    <n v="2195.4899999999998"/>
    <n v="2247.39"/>
    <n v="4951000.17"/>
    <n v="4836664.47"/>
    <n v="114335.70000000019"/>
    <n v="3648.853781024814"/>
    <n v="117984.553781025"/>
    <n v="0"/>
    <n v="0"/>
    <n v="0"/>
    <n v="117984.553781025"/>
  </r>
  <r>
    <x v="3"/>
    <d v="2021-05-05T00:00:00"/>
    <d v="2021-05-24T00:00:00"/>
    <x v="0"/>
    <n v="9"/>
    <n v="2146"/>
    <n v="2195.4899999999998"/>
    <n v="2247.39"/>
    <n v="4822898.9399999995"/>
    <n v="4711521.5399999991"/>
    <n v="111377.40000000037"/>
    <n v="3554.4440372579443"/>
    <n v="114931.84403725831"/>
    <n v="0"/>
    <n v="0"/>
    <n v="0"/>
    <n v="114931.84403725831"/>
  </r>
  <r>
    <x v="4"/>
    <d v="2021-06-03T00:00:00"/>
    <d v="2021-06-24T00:00:00"/>
    <x v="0"/>
    <n v="9"/>
    <n v="2961"/>
    <n v="2195.4899999999998"/>
    <n v="2247.39"/>
    <n v="6654521.79"/>
    <n v="6500845.8899999997"/>
    <n v="153675.90000000037"/>
    <n v="4904.3377419947683"/>
    <n v="158580.23774199514"/>
    <n v="0"/>
    <n v="0"/>
    <n v="0"/>
    <n v="158580.23774199514"/>
  </r>
  <r>
    <x v="5"/>
    <d v="2021-07-06T00:00:00"/>
    <d v="2021-07-24T00:00:00"/>
    <x v="0"/>
    <n v="9"/>
    <n v="3827"/>
    <n v="2195.4899999999998"/>
    <n v="2247.39"/>
    <n v="8600761.5299999993"/>
    <n v="8402140.2299999986"/>
    <n v="198621.30000000075"/>
    <n v="6338.7033227335287"/>
    <n v="204960.00332273426"/>
    <n v="0"/>
    <n v="0"/>
    <n v="0"/>
    <n v="204960.00332273426"/>
  </r>
  <r>
    <x v="6"/>
    <d v="2021-08-04T00:00:00"/>
    <d v="2021-08-24T00:00:00"/>
    <x v="0"/>
    <n v="9"/>
    <n v="3938"/>
    <n v="2195.4899999999998"/>
    <n v="2247.39"/>
    <n v="8850221.8200000003"/>
    <n v="8645839.6199999992"/>
    <n v="204382.20000000112"/>
    <n v="6522.5538763848008"/>
    <n v="210904.75387638592"/>
    <n v="0"/>
    <n v="0"/>
    <n v="0"/>
    <n v="210904.75387638592"/>
  </r>
  <r>
    <x v="7"/>
    <d v="2021-09-03T00:00:00"/>
    <d v="2021-09-24T00:00:00"/>
    <x v="0"/>
    <n v="9"/>
    <n v="4002"/>
    <n v="2195.4899999999998"/>
    <n v="2247.39"/>
    <n v="8994054.7799999993"/>
    <n v="8786350.9799999986"/>
    <n v="207703.80000000075"/>
    <n v="6628.5577992107601"/>
    <n v="214332.35779921152"/>
    <n v="0"/>
    <n v="0"/>
    <n v="0"/>
    <n v="214332.35779921152"/>
  </r>
  <r>
    <x v="8"/>
    <d v="2021-10-05T00:00:00"/>
    <d v="2021-10-25T00:00:00"/>
    <x v="0"/>
    <n v="9"/>
    <n v="4029"/>
    <n v="2195.4899999999998"/>
    <n v="2247.39"/>
    <n v="9054734.3099999987"/>
    <n v="8845629.209999999"/>
    <n v="209105.09999999963"/>
    <n v="6673.2782041529626"/>
    <n v="215778.3782041526"/>
    <n v="0"/>
    <n v="0"/>
    <n v="0"/>
    <n v="215778.3782041526"/>
  </r>
  <r>
    <x v="9"/>
    <d v="2021-11-03T00:00:00"/>
    <d v="2021-11-24T00:00:00"/>
    <x v="0"/>
    <n v="9"/>
    <n v="3123"/>
    <n v="2195.4899999999998"/>
    <n v="2247.39"/>
    <n v="7018598.9699999997"/>
    <n v="6856515.2699999996"/>
    <n v="162083.70000000019"/>
    <n v="5172.6601716479781"/>
    <n v="167256.36017164815"/>
    <n v="0"/>
    <n v="0"/>
    <n v="0"/>
    <n v="167256.36017164815"/>
  </r>
  <r>
    <x v="10"/>
    <d v="2021-12-03T00:00:00"/>
    <d v="2021-12-27T00:00:00"/>
    <x v="0"/>
    <n v="9"/>
    <n v="2263"/>
    <n v="2195.4899999999998"/>
    <n v="2247.39"/>
    <n v="5085843.5699999994"/>
    <n v="4968393.8699999992"/>
    <n v="117449.70000000019"/>
    <n v="3748.2324586741511"/>
    <n v="121197.93245867433"/>
    <n v="0"/>
    <n v="0"/>
    <n v="0"/>
    <n v="121197.93245867433"/>
  </r>
  <r>
    <x v="11"/>
    <d v="2022-01-05T00:00:00"/>
    <d v="2022-01-24T00:00:00"/>
    <x v="0"/>
    <n v="9"/>
    <n v="2379"/>
    <n v="2195.4899999999998"/>
    <n v="2247.39"/>
    <n v="5346540.8099999996"/>
    <n v="5223070.709999999"/>
    <n v="123470.10000000056"/>
    <n v="3940.3645687962016"/>
    <n v="127410.46456879676"/>
    <n v="0"/>
    <n v="0"/>
    <n v="0"/>
    <n v="127410.46456879676"/>
  </r>
  <r>
    <x v="0"/>
    <d v="2021-02-03T00:00:00"/>
    <d v="2021-02-24T00:00:00"/>
    <x v="1"/>
    <n v="9"/>
    <n v="2771"/>
    <n v="2195.4899999999998"/>
    <n v="2247.39"/>
    <n v="6227517.6899999995"/>
    <n v="6083702.7899999991"/>
    <n v="143814.90000000037"/>
    <n v="4589.6385961052019"/>
    <n v="148404.53859610559"/>
    <n v="0"/>
    <n v="0"/>
    <n v="0"/>
    <n v="148404.53859610559"/>
  </r>
  <r>
    <x v="1"/>
    <d v="2021-03-03T00:00:00"/>
    <d v="2021-03-24T00:00:00"/>
    <x v="1"/>
    <n v="9"/>
    <n v="3136"/>
    <n v="2195.4899999999998"/>
    <n v="2247.39"/>
    <n v="7047815.04"/>
    <n v="6885056.6399999997"/>
    <n v="162758.40000000037"/>
    <n v="5194.1922184720006"/>
    <n v="167952.59221847236"/>
    <n v="0"/>
    <n v="0"/>
    <n v="0"/>
    <n v="167952.59221847236"/>
  </r>
  <r>
    <x v="2"/>
    <d v="2021-04-05T00:00:00"/>
    <d v="2021-04-26T00:00:00"/>
    <x v="1"/>
    <n v="9"/>
    <n v="2339"/>
    <n v="2195.4899999999998"/>
    <n v="2247.39"/>
    <n v="5256645.21"/>
    <n v="5135251.1099999994"/>
    <n v="121394.10000000056"/>
    <n v="3874.1121170299771"/>
    <n v="125268.21211703053"/>
    <n v="0"/>
    <n v="0"/>
    <n v="0"/>
    <n v="125268.21211703053"/>
  </r>
  <r>
    <x v="3"/>
    <d v="2021-05-05T00:00:00"/>
    <d v="2021-05-24T00:00:00"/>
    <x v="1"/>
    <n v="9"/>
    <n v="2394"/>
    <n v="2195.4899999999998"/>
    <n v="2247.39"/>
    <n v="5380251.6600000001"/>
    <n v="5256003.0599999996"/>
    <n v="124248.60000000056"/>
    <n v="3965.2092382085361"/>
    <n v="128213.8092382091"/>
    <n v="0"/>
    <n v="0"/>
    <n v="0"/>
    <n v="128213.8092382091"/>
  </r>
  <r>
    <x v="4"/>
    <d v="2021-06-03T00:00:00"/>
    <d v="2021-06-24T00:00:00"/>
    <x v="1"/>
    <n v="9"/>
    <n v="2807"/>
    <n v="2195.4899999999998"/>
    <n v="2247.39"/>
    <n v="6308423.7299999995"/>
    <n v="6162740.4299999997"/>
    <n v="145683.29999999981"/>
    <n v="4649.2658026948038"/>
    <n v="150332.56580269462"/>
    <n v="0"/>
    <n v="0"/>
    <n v="0"/>
    <n v="150332.56580269462"/>
  </r>
  <r>
    <x v="5"/>
    <d v="2021-07-06T00:00:00"/>
    <d v="2021-07-24T00:00:00"/>
    <x v="1"/>
    <n v="9"/>
    <n v="3345"/>
    <n v="2195.4899999999998"/>
    <n v="2247.39"/>
    <n v="7517519.5499999998"/>
    <n v="7343914.0499999989"/>
    <n v="173605.50000000093"/>
    <n v="5540.3612789505241"/>
    <n v="179145.86127895146"/>
    <n v="0"/>
    <n v="0"/>
    <n v="0"/>
    <n v="179145.86127895146"/>
  </r>
  <r>
    <x v="6"/>
    <d v="2021-08-04T00:00:00"/>
    <d v="2021-08-24T00:00:00"/>
    <x v="1"/>
    <n v="9"/>
    <n v="3525"/>
    <n v="2195.4899999999998"/>
    <n v="2247.39"/>
    <n v="7922049.75"/>
    <n v="7739102.2499999991"/>
    <n v="182947.50000000093"/>
    <n v="5838.4973118985336"/>
    <n v="188785.99731189947"/>
    <n v="0"/>
    <n v="0"/>
    <n v="0"/>
    <n v="188785.99731189947"/>
  </r>
  <r>
    <x v="7"/>
    <d v="2021-09-03T00:00:00"/>
    <d v="2021-09-24T00:00:00"/>
    <x v="1"/>
    <n v="9"/>
    <n v="3514"/>
    <n v="2195.4899999999998"/>
    <n v="2247.39"/>
    <n v="7897328.46"/>
    <n v="7714951.8599999994"/>
    <n v="182376.60000000056"/>
    <n v="5820.2778876628217"/>
    <n v="188196.87788766337"/>
    <n v="0"/>
    <n v="0"/>
    <n v="0"/>
    <n v="188196.87788766337"/>
  </r>
  <r>
    <x v="8"/>
    <d v="2021-10-05T00:00:00"/>
    <d v="2021-10-25T00:00:00"/>
    <x v="1"/>
    <n v="9"/>
    <n v="3486"/>
    <n v="2195.4899999999998"/>
    <n v="2247.39"/>
    <n v="7834401.5399999991"/>
    <n v="7653478.1399999997"/>
    <n v="180923.39999999944"/>
    <n v="5773.9011714264652"/>
    <n v="186697.3011714259"/>
    <n v="0"/>
    <n v="0"/>
    <n v="0"/>
    <n v="186697.3011714259"/>
  </r>
  <r>
    <x v="9"/>
    <d v="2021-11-03T00:00:00"/>
    <d v="2021-11-24T00:00:00"/>
    <x v="1"/>
    <n v="9"/>
    <n v="2777"/>
    <n v="2195.4899999999998"/>
    <n v="2247.39"/>
    <n v="6241002.0299999993"/>
    <n v="6096875.7299999995"/>
    <n v="144126.29999999981"/>
    <n v="4599.5764638701357"/>
    <n v="148725.87646386994"/>
    <n v="0"/>
    <n v="0"/>
    <n v="0"/>
    <n v="148725.87646386994"/>
  </r>
  <r>
    <x v="10"/>
    <d v="2021-12-03T00:00:00"/>
    <d v="2021-12-27T00:00:00"/>
    <x v="1"/>
    <n v="9"/>
    <n v="2284"/>
    <n v="2195.4899999999998"/>
    <n v="2247.39"/>
    <n v="5133038.76"/>
    <n v="5014499.1599999992"/>
    <n v="118539.60000000056"/>
    <n v="3783.0149958514185"/>
    <n v="122322.61499585198"/>
    <n v="0"/>
    <n v="0"/>
    <n v="0"/>
    <n v="122322.61499585198"/>
  </r>
  <r>
    <x v="11"/>
    <d v="2022-01-05T00:00:00"/>
    <d v="2022-01-24T00:00:00"/>
    <x v="1"/>
    <n v="9"/>
    <n v="2425"/>
    <n v="2195.4899999999998"/>
    <n v="2247.39"/>
    <n v="5449920.75"/>
    <n v="5324063.2499999991"/>
    <n v="125857.50000000093"/>
    <n v="4016.55488832736"/>
    <n v="129874.05488832829"/>
    <n v="0"/>
    <n v="0"/>
    <n v="0"/>
    <n v="129874.05488832829"/>
  </r>
  <r>
    <x v="0"/>
    <d v="2021-02-03T00:00:00"/>
    <d v="2021-02-24T00:00:00"/>
    <x v="2"/>
    <n v="9"/>
    <n v="146"/>
    <n v="2195.4899999999998"/>
    <n v="2247.39"/>
    <n v="328118.94"/>
    <n v="320541.53999999998"/>
    <n v="7577.4000000000233"/>
    <n v="241.82144894671941"/>
    <n v="7819.2214489467424"/>
    <n v="0"/>
    <n v="0"/>
    <n v="0"/>
    <n v="7819.2214489467424"/>
  </r>
  <r>
    <x v="1"/>
    <d v="2021-03-03T00:00:00"/>
    <d v="2021-03-24T00:00:00"/>
    <x v="2"/>
    <n v="9"/>
    <n v="212"/>
    <n v="2195.4899999999998"/>
    <n v="2247.39"/>
    <n v="476446.68"/>
    <n v="465443.87999999995"/>
    <n v="11002.800000000047"/>
    <n v="351.13799436098986"/>
    <n v="11353.937994361037"/>
    <n v="0"/>
    <n v="0"/>
    <n v="0"/>
    <n v="11353.937994361037"/>
  </r>
  <r>
    <x v="2"/>
    <d v="2021-04-05T00:00:00"/>
    <d v="2021-04-26T00:00:00"/>
    <x v="2"/>
    <n v="9"/>
    <n v="125"/>
    <n v="2195.4899999999998"/>
    <n v="2247.39"/>
    <n v="280923.75"/>
    <n v="274436.25"/>
    <n v="6487.5"/>
    <n v="207.03891176945154"/>
    <n v="6694.5389117694513"/>
    <n v="0"/>
    <n v="0"/>
    <n v="0"/>
    <n v="6694.5389117694513"/>
  </r>
  <r>
    <x v="3"/>
    <d v="2021-05-05T00:00:00"/>
    <d v="2021-05-24T00:00:00"/>
    <x v="2"/>
    <n v="9"/>
    <n v="92"/>
    <n v="2195.4899999999998"/>
    <n v="2247.39"/>
    <n v="206759.87999999998"/>
    <n v="201985.08"/>
    <n v="4774.7999999999884"/>
    <n v="152.38063906231633"/>
    <n v="4927.1806390623051"/>
    <n v="0"/>
    <n v="0"/>
    <n v="0"/>
    <n v="4927.1806390623051"/>
  </r>
  <r>
    <x v="4"/>
    <d v="2021-06-03T00:00:00"/>
    <d v="2021-06-24T00:00:00"/>
    <x v="2"/>
    <n v="9"/>
    <n v="102"/>
    <n v="2195.4899999999998"/>
    <n v="2247.39"/>
    <n v="229233.78"/>
    <n v="223939.97999999998"/>
    <n v="5293.8000000000175"/>
    <n v="168.94375200387248"/>
    <n v="5462.7437520038902"/>
    <n v="0"/>
    <n v="0"/>
    <n v="0"/>
    <n v="5462.7437520038902"/>
  </r>
  <r>
    <x v="5"/>
    <d v="2021-07-06T00:00:00"/>
    <d v="2021-07-24T00:00:00"/>
    <x v="2"/>
    <n v="9"/>
    <n v="124"/>
    <n v="2195.4899999999998"/>
    <n v="2247.39"/>
    <n v="278676.36"/>
    <n v="272240.75999999995"/>
    <n v="6435.6000000000349"/>
    <n v="205.38260047529593"/>
    <n v="6640.9826004753304"/>
    <n v="0"/>
    <n v="0"/>
    <n v="0"/>
    <n v="6640.9826004753304"/>
  </r>
  <r>
    <x v="6"/>
    <d v="2021-08-04T00:00:00"/>
    <d v="2021-08-24T00:00:00"/>
    <x v="2"/>
    <n v="9"/>
    <n v="138"/>
    <n v="2195.4899999999998"/>
    <n v="2247.39"/>
    <n v="310139.82"/>
    <n v="302977.62"/>
    <n v="7162.2000000000116"/>
    <n v="228.57095859347453"/>
    <n v="7390.7709585934863"/>
    <n v="0"/>
    <n v="0"/>
    <n v="0"/>
    <n v="7390.7709585934863"/>
  </r>
  <r>
    <x v="7"/>
    <d v="2021-09-03T00:00:00"/>
    <d v="2021-09-24T00:00:00"/>
    <x v="2"/>
    <n v="9"/>
    <n v="140"/>
    <n v="2195.4899999999998"/>
    <n v="2247.39"/>
    <n v="314634.59999999998"/>
    <n v="307368.59999999998"/>
    <n v="7266"/>
    <n v="231.88358118178576"/>
    <n v="7497.8835811817862"/>
    <n v="0"/>
    <n v="0"/>
    <n v="0"/>
    <n v="7497.8835811817862"/>
  </r>
  <r>
    <x v="8"/>
    <d v="2021-10-05T00:00:00"/>
    <d v="2021-10-25T00:00:00"/>
    <x v="2"/>
    <n v="9"/>
    <n v="140"/>
    <n v="2195.4899999999998"/>
    <n v="2247.39"/>
    <n v="314634.59999999998"/>
    <n v="307368.59999999998"/>
    <n v="7266"/>
    <n v="231.88358118178576"/>
    <n v="7497.8835811817862"/>
    <n v="0"/>
    <n v="0"/>
    <n v="0"/>
    <n v="7497.8835811817862"/>
  </r>
  <r>
    <x v="9"/>
    <d v="2021-11-03T00:00:00"/>
    <d v="2021-11-24T00:00:00"/>
    <x v="2"/>
    <n v="9"/>
    <n v="106"/>
    <n v="2195.4899999999998"/>
    <n v="2247.39"/>
    <n v="238223.34"/>
    <n v="232721.93999999997"/>
    <n v="5501.4000000000233"/>
    <n v="175.56899718049493"/>
    <n v="5676.9689971805183"/>
    <n v="0"/>
    <n v="0"/>
    <n v="0"/>
    <n v="5676.9689971805183"/>
  </r>
  <r>
    <x v="10"/>
    <d v="2021-12-03T00:00:00"/>
    <d v="2021-12-27T00:00:00"/>
    <x v="2"/>
    <n v="9"/>
    <n v="107"/>
    <n v="2195.4899999999998"/>
    <n v="2247.39"/>
    <n v="240470.72999999998"/>
    <n v="234917.42999999996"/>
    <n v="5553.3000000000175"/>
    <n v="177.22530847465055"/>
    <n v="5730.5253084746682"/>
    <n v="0"/>
    <n v="0"/>
    <n v="0"/>
    <n v="5730.5253084746682"/>
  </r>
  <r>
    <x v="11"/>
    <d v="2022-01-05T00:00:00"/>
    <d v="2022-01-24T00:00:00"/>
    <x v="2"/>
    <n v="9"/>
    <n v="110"/>
    <n v="2195.4899999999998"/>
    <n v="2247.39"/>
    <n v="247212.9"/>
    <n v="241503.89999999997"/>
    <n v="5709.0000000000291"/>
    <n v="182.19424235711736"/>
    <n v="5891.1942423571463"/>
    <n v="0"/>
    <n v="0"/>
    <n v="0"/>
    <n v="5891.1942423571463"/>
  </r>
  <r>
    <x v="0"/>
    <d v="2021-02-03T00:00:00"/>
    <d v="2021-02-24T00:00:00"/>
    <x v="3"/>
    <n v="9"/>
    <n v="767"/>
    <n v="2195.4899999999998"/>
    <n v="2247.39"/>
    <n v="1723748.13"/>
    <n v="1683940.8299999998"/>
    <n v="39807.300000000047"/>
    <n v="1270.3907626173545"/>
    <n v="41077.6907626174"/>
    <n v="0"/>
    <n v="0"/>
    <n v="0"/>
    <n v="41077.6907626174"/>
  </r>
  <r>
    <x v="1"/>
    <d v="2021-03-03T00:00:00"/>
    <d v="2021-03-24T00:00:00"/>
    <x v="3"/>
    <n v="9"/>
    <n v="1062"/>
    <n v="2195.4899999999998"/>
    <n v="2247.39"/>
    <n v="2386728.1799999997"/>
    <n v="2331610.38"/>
    <n v="55117.799999999814"/>
    <n v="1759.0025943932603"/>
    <n v="56876.802594393077"/>
    <n v="0"/>
    <n v="0"/>
    <n v="0"/>
    <n v="56876.802594393077"/>
  </r>
  <r>
    <x v="2"/>
    <d v="2021-04-05T00:00:00"/>
    <d v="2021-04-26T00:00:00"/>
    <x v="3"/>
    <n v="9"/>
    <n v="599"/>
    <n v="2195.4899999999998"/>
    <n v="2247.39"/>
    <n v="1346186.6099999999"/>
    <n v="1315098.5099999998"/>
    <n v="31088.100000000093"/>
    <n v="992.13046519921181"/>
    <n v="32080.230465199304"/>
    <n v="0"/>
    <n v="0"/>
    <n v="0"/>
    <n v="32080.230465199304"/>
  </r>
  <r>
    <x v="3"/>
    <d v="2021-05-05T00:00:00"/>
    <d v="2021-05-24T00:00:00"/>
    <x v="3"/>
    <n v="9"/>
    <n v="447"/>
    <n v="2195.4899999999998"/>
    <n v="2247.39"/>
    <n v="1004583.33"/>
    <n v="981384.02999999991"/>
    <n v="23199.300000000047"/>
    <n v="740.37114848755868"/>
    <n v="23939.671148487607"/>
    <n v="0"/>
    <n v="0"/>
    <n v="0"/>
    <n v="23939.671148487607"/>
  </r>
  <r>
    <x v="4"/>
    <d v="2021-06-03T00:00:00"/>
    <d v="2021-06-24T00:00:00"/>
    <x v="3"/>
    <n v="9"/>
    <n v="603"/>
    <n v="2195.4899999999998"/>
    <n v="2247.39"/>
    <n v="1355176.17"/>
    <n v="1323880.47"/>
    <n v="31295.699999999953"/>
    <n v="998.75571037583416"/>
    <n v="32294.455710375787"/>
    <n v="0"/>
    <n v="0"/>
    <n v="0"/>
    <n v="32294.455710375787"/>
  </r>
  <r>
    <x v="5"/>
    <d v="2021-07-06T00:00:00"/>
    <d v="2021-07-24T00:00:00"/>
    <x v="3"/>
    <n v="9"/>
    <n v="840"/>
    <n v="2195.4899999999998"/>
    <n v="2247.39"/>
    <n v="1887807.5999999999"/>
    <n v="1844211.5999999999"/>
    <n v="43596"/>
    <n v="1391.3014870907145"/>
    <n v="44987.301487090714"/>
    <n v="0"/>
    <n v="0"/>
    <n v="0"/>
    <n v="44987.301487090714"/>
  </r>
  <r>
    <x v="6"/>
    <d v="2021-08-04T00:00:00"/>
    <d v="2021-08-24T00:00:00"/>
    <x v="3"/>
    <n v="9"/>
    <n v="926"/>
    <n v="2195.4899999999998"/>
    <n v="2247.39"/>
    <n v="2081083.14"/>
    <n v="2033023.7399999998"/>
    <n v="48059.40000000014"/>
    <n v="1533.744258388097"/>
    <n v="49593.144258388238"/>
    <n v="0"/>
    <n v="0"/>
    <n v="0"/>
    <n v="49593.144258388238"/>
  </r>
  <r>
    <x v="7"/>
    <d v="2021-09-03T00:00:00"/>
    <d v="2021-09-24T00:00:00"/>
    <x v="3"/>
    <n v="9"/>
    <n v="943"/>
    <n v="2195.4899999999998"/>
    <n v="2247.39"/>
    <n v="2119288.77"/>
    <n v="2070347.0699999998"/>
    <n v="48941.700000000186"/>
    <n v="1561.9015503887426"/>
    <n v="50503.601550388928"/>
    <n v="0"/>
    <n v="0"/>
    <n v="0"/>
    <n v="50503.601550388928"/>
  </r>
  <r>
    <x v="8"/>
    <d v="2021-10-05T00:00:00"/>
    <d v="2021-10-25T00:00:00"/>
    <x v="3"/>
    <n v="9"/>
    <n v="913"/>
    <n v="2195.4899999999998"/>
    <n v="2247.39"/>
    <n v="2051867.0699999998"/>
    <n v="2004482.3699999999"/>
    <n v="47384.699999999953"/>
    <n v="1512.2122115640741"/>
    <n v="48896.912211564028"/>
    <n v="0"/>
    <n v="0"/>
    <n v="0"/>
    <n v="48896.912211564028"/>
  </r>
  <r>
    <x v="9"/>
    <d v="2021-11-03T00:00:00"/>
    <d v="2021-11-24T00:00:00"/>
    <x v="3"/>
    <n v="9"/>
    <n v="681"/>
    <n v="2195.4899999999998"/>
    <n v="2247.39"/>
    <n v="1530472.5899999999"/>
    <n v="1495128.69"/>
    <n v="35343.899999999907"/>
    <n v="1127.9479913199721"/>
    <n v="36471.847991319883"/>
    <n v="0"/>
    <n v="0"/>
    <n v="0"/>
    <n v="36471.847991319883"/>
  </r>
  <r>
    <x v="10"/>
    <d v="2021-12-03T00:00:00"/>
    <d v="2021-12-27T00:00:00"/>
    <x v="3"/>
    <n v="9"/>
    <n v="652"/>
    <n v="2195.4899999999998"/>
    <n v="2247.39"/>
    <n v="1465298.28"/>
    <n v="1431459.4799999997"/>
    <n v="33838.800000000279"/>
    <n v="1079.9149637894593"/>
    <n v="34918.714963789738"/>
    <n v="0"/>
    <n v="0"/>
    <n v="0"/>
    <n v="34918.714963789738"/>
  </r>
  <r>
    <x v="11"/>
    <d v="2022-01-05T00:00:00"/>
    <d v="2022-01-24T00:00:00"/>
    <x v="3"/>
    <n v="9"/>
    <n v="634"/>
    <n v="2195.4899999999998"/>
    <n v="2247.39"/>
    <n v="1424845.26"/>
    <n v="1391940.66"/>
    <n v="32904.600000000093"/>
    <n v="1050.1013604946581"/>
    <n v="33954.70136049475"/>
    <n v="0"/>
    <n v="0"/>
    <n v="0"/>
    <n v="33954.70136049475"/>
  </r>
  <r>
    <x v="0"/>
    <d v="2021-02-03T00:00:00"/>
    <d v="2021-02-24T00:00:00"/>
    <x v="4"/>
    <n v="9"/>
    <n v="38"/>
    <n v="2195.4899999999998"/>
    <n v="2247.39"/>
    <n v="85400.819999999992"/>
    <n v="83428.62"/>
    <n v="1972.1999999999971"/>
    <n v="62.939829177913268"/>
    <n v="2035.1398291779103"/>
    <n v="0"/>
    <n v="0"/>
    <n v="0"/>
    <n v="2035.1398291779103"/>
  </r>
  <r>
    <x v="1"/>
    <d v="2021-03-03T00:00:00"/>
    <d v="2021-03-24T00:00:00"/>
    <x v="4"/>
    <n v="9"/>
    <n v="60"/>
    <n v="2195.4899999999998"/>
    <n v="2247.39"/>
    <n v="134843.4"/>
    <n v="131729.4"/>
    <n v="3114"/>
    <n v="99.378677649336737"/>
    <n v="3213.3786776493366"/>
    <n v="0"/>
    <n v="0"/>
    <n v="0"/>
    <n v="3213.3786776493366"/>
  </r>
  <r>
    <x v="2"/>
    <d v="2021-04-05T00:00:00"/>
    <d v="2021-04-26T00:00:00"/>
    <x v="4"/>
    <n v="9"/>
    <n v="31"/>
    <n v="2195.4899999999998"/>
    <n v="2247.39"/>
    <n v="69669.09"/>
    <n v="68060.189999999988"/>
    <n v="1608.9000000000087"/>
    <n v="51.345650118823983"/>
    <n v="1660.2456501188326"/>
    <n v="0"/>
    <n v="0"/>
    <n v="0"/>
    <n v="1660.2456501188326"/>
  </r>
  <r>
    <x v="3"/>
    <d v="2021-05-05T00:00:00"/>
    <d v="2021-05-24T00:00:00"/>
    <x v="4"/>
    <n v="9"/>
    <n v="20"/>
    <n v="2195.4899999999998"/>
    <n v="2247.39"/>
    <n v="44947.799999999996"/>
    <n v="43909.799999999996"/>
    <n v="1038"/>
    <n v="33.126225883112248"/>
    <n v="1071.1262258831123"/>
    <n v="0"/>
    <n v="0"/>
    <n v="0"/>
    <n v="1071.1262258831123"/>
  </r>
  <r>
    <x v="4"/>
    <d v="2021-06-03T00:00:00"/>
    <d v="2021-06-24T00:00:00"/>
    <x v="4"/>
    <n v="9"/>
    <n v="28"/>
    <n v="2195.4899999999998"/>
    <n v="2247.39"/>
    <n v="62926.92"/>
    <n v="61473.719999999994"/>
    <n v="1453.2000000000044"/>
    <n v="46.376716236357147"/>
    <n v="1499.5767162363616"/>
    <n v="0"/>
    <n v="0"/>
    <n v="0"/>
    <n v="1499.5767162363616"/>
  </r>
  <r>
    <x v="5"/>
    <d v="2021-07-06T00:00:00"/>
    <d v="2021-07-24T00:00:00"/>
    <x v="4"/>
    <n v="9"/>
    <n v="45"/>
    <n v="2195.4899999999998"/>
    <n v="2247.39"/>
    <n v="101132.54999999999"/>
    <n v="98797.049999999988"/>
    <n v="2335.5"/>
    <n v="74.534008237002567"/>
    <n v="2410.0340082370026"/>
    <n v="0"/>
    <n v="0"/>
    <n v="0"/>
    <n v="2410.0340082370026"/>
  </r>
  <r>
    <x v="6"/>
    <d v="2021-08-04T00:00:00"/>
    <d v="2021-08-24T00:00:00"/>
    <x v="4"/>
    <n v="9"/>
    <n v="53"/>
    <n v="2195.4899999999998"/>
    <n v="2247.39"/>
    <n v="119111.67"/>
    <n v="116360.96999999999"/>
    <n v="2750.7000000000116"/>
    <n v="87.784498590247466"/>
    <n v="2838.4844985902591"/>
    <n v="0"/>
    <n v="0"/>
    <n v="0"/>
    <n v="2838.4844985902591"/>
  </r>
  <r>
    <x v="7"/>
    <d v="2021-09-03T00:00:00"/>
    <d v="2021-09-24T00:00:00"/>
    <x v="4"/>
    <n v="9"/>
    <n v="50"/>
    <n v="2195.4899999999998"/>
    <n v="2247.39"/>
    <n v="112369.5"/>
    <n v="109774.49999999999"/>
    <n v="2595.0000000000146"/>
    <n v="82.815564707780624"/>
    <n v="2677.8155647077951"/>
    <n v="0"/>
    <n v="0"/>
    <n v="0"/>
    <n v="2677.8155647077951"/>
  </r>
  <r>
    <x v="8"/>
    <d v="2021-10-05T00:00:00"/>
    <d v="2021-10-25T00:00:00"/>
    <x v="4"/>
    <n v="9"/>
    <n v="49"/>
    <n v="2195.4899999999998"/>
    <n v="2247.39"/>
    <n v="110122.11"/>
    <n v="107579.01"/>
    <n v="2543.1000000000058"/>
    <n v="81.159253413625009"/>
    <n v="2624.2592534136306"/>
    <n v="0"/>
    <n v="0"/>
    <n v="0"/>
    <n v="2624.2592534136306"/>
  </r>
  <r>
    <x v="9"/>
    <d v="2021-11-03T00:00:00"/>
    <d v="2021-11-24T00:00:00"/>
    <x v="4"/>
    <n v="9"/>
    <n v="38"/>
    <n v="2195.4899999999998"/>
    <n v="2247.39"/>
    <n v="85400.819999999992"/>
    <n v="83428.62"/>
    <n v="1972.1999999999971"/>
    <n v="62.939829177913268"/>
    <n v="2035.1398291779103"/>
    <n v="0"/>
    <n v="0"/>
    <n v="0"/>
    <n v="2035.1398291779103"/>
  </r>
  <r>
    <x v="10"/>
    <d v="2021-12-03T00:00:00"/>
    <d v="2021-12-27T00:00:00"/>
    <x v="4"/>
    <n v="9"/>
    <n v="32"/>
    <n v="2195.4899999999998"/>
    <n v="2247.39"/>
    <n v="71916.479999999996"/>
    <n v="70255.679999999993"/>
    <n v="1660.8000000000029"/>
    <n v="53.001961412979597"/>
    <n v="1713.8019614129826"/>
    <n v="0"/>
    <n v="0"/>
    <n v="0"/>
    <n v="1713.8019614129826"/>
  </r>
  <r>
    <x v="11"/>
    <d v="2022-01-05T00:00:00"/>
    <d v="2022-01-24T00:00:00"/>
    <x v="4"/>
    <n v="9"/>
    <n v="31"/>
    <n v="2195.4899999999998"/>
    <n v="2247.39"/>
    <n v="69669.09"/>
    <n v="68060.189999999988"/>
    <n v="1608.9000000000087"/>
    <n v="51.345650118823983"/>
    <n v="1660.2456501188326"/>
    <n v="0"/>
    <n v="0"/>
    <n v="0"/>
    <n v="1660.2456501188326"/>
  </r>
  <r>
    <x v="0"/>
    <d v="2021-02-03T00:00:00"/>
    <d v="2021-02-24T00:00:00"/>
    <x v="5"/>
    <n v="9"/>
    <n v="43"/>
    <n v="2195.4899999999998"/>
    <n v="2247.39"/>
    <n v="96637.76999999999"/>
    <n v="94406.069999999992"/>
    <n v="2231.6999999999971"/>
    <n v="71.221385648691324"/>
    <n v="2302.9213856486886"/>
    <n v="0"/>
    <n v="0"/>
    <n v="0"/>
    <n v="2302.9213856486886"/>
  </r>
  <r>
    <x v="1"/>
    <d v="2021-03-03T00:00:00"/>
    <d v="2021-03-24T00:00:00"/>
    <x v="5"/>
    <n v="9"/>
    <n v="48"/>
    <n v="2195.4899999999998"/>
    <n v="2247.39"/>
    <n v="107874.72"/>
    <n v="105383.51999999999"/>
    <n v="2491.2000000000116"/>
    <n v="79.502942119469395"/>
    <n v="2570.7029421194811"/>
    <n v="0"/>
    <n v="0"/>
    <n v="0"/>
    <n v="2570.7029421194811"/>
  </r>
  <r>
    <x v="2"/>
    <d v="2021-04-05T00:00:00"/>
    <d v="2021-04-26T00:00:00"/>
    <x v="5"/>
    <n v="9"/>
    <n v="35"/>
    <n v="2195.4899999999998"/>
    <n v="2247.39"/>
    <n v="78658.649999999994"/>
    <n v="76842.149999999994"/>
    <n v="1816.5"/>
    <n v="57.970895295446439"/>
    <n v="1874.4708952954466"/>
    <n v="0"/>
    <n v="0"/>
    <n v="0"/>
    <n v="1874.4708952954466"/>
  </r>
  <r>
    <x v="3"/>
    <d v="2021-05-05T00:00:00"/>
    <d v="2021-05-24T00:00:00"/>
    <x v="5"/>
    <n v="9"/>
    <n v="29"/>
    <n v="2195.4899999999998"/>
    <n v="2247.39"/>
    <n v="65174.31"/>
    <n v="63669.209999999992"/>
    <n v="1505.1000000000058"/>
    <n v="48.033027530512761"/>
    <n v="1553.1330275305186"/>
    <n v="0"/>
    <n v="0"/>
    <n v="0"/>
    <n v="1553.1330275305186"/>
  </r>
  <r>
    <x v="4"/>
    <d v="2021-06-03T00:00:00"/>
    <d v="2021-06-24T00:00:00"/>
    <x v="5"/>
    <n v="9"/>
    <n v="34"/>
    <n v="2195.4899999999998"/>
    <n v="2247.39"/>
    <n v="76411.259999999995"/>
    <n v="74646.659999999989"/>
    <n v="1764.6000000000058"/>
    <n v="56.314584001290825"/>
    <n v="1820.9145840012966"/>
    <n v="0"/>
    <n v="0"/>
    <n v="0"/>
    <n v="1820.9145840012966"/>
  </r>
  <r>
    <x v="5"/>
    <d v="2021-07-06T00:00:00"/>
    <d v="2021-07-24T00:00:00"/>
    <x v="5"/>
    <n v="9"/>
    <n v="45"/>
    <n v="2195.4899999999998"/>
    <n v="2247.39"/>
    <n v="101132.54999999999"/>
    <n v="98797.049999999988"/>
    <n v="2335.5"/>
    <n v="74.534008237002567"/>
    <n v="2410.0340082370026"/>
    <n v="0"/>
    <n v="0"/>
    <n v="0"/>
    <n v="2410.0340082370026"/>
  </r>
  <r>
    <x v="6"/>
    <d v="2021-08-04T00:00:00"/>
    <d v="2021-08-24T00:00:00"/>
    <x v="5"/>
    <n v="9"/>
    <n v="48"/>
    <n v="2195.4899999999998"/>
    <n v="2247.39"/>
    <n v="107874.72"/>
    <n v="105383.51999999999"/>
    <n v="2491.2000000000116"/>
    <n v="79.502942119469395"/>
    <n v="2570.7029421194811"/>
    <n v="0"/>
    <n v="0"/>
    <n v="0"/>
    <n v="2570.7029421194811"/>
  </r>
  <r>
    <x v="7"/>
    <d v="2021-09-03T00:00:00"/>
    <d v="2021-09-24T00:00:00"/>
    <x v="5"/>
    <n v="9"/>
    <n v="46"/>
    <n v="2195.4899999999998"/>
    <n v="2247.39"/>
    <n v="103379.93999999999"/>
    <n v="100992.54"/>
    <n v="2387.3999999999942"/>
    <n v="76.190319531158167"/>
    <n v="2463.5903195311525"/>
    <n v="0"/>
    <n v="0"/>
    <n v="0"/>
    <n v="2463.5903195311525"/>
  </r>
  <r>
    <x v="8"/>
    <d v="2021-10-05T00:00:00"/>
    <d v="2021-10-25T00:00:00"/>
    <x v="5"/>
    <n v="9"/>
    <n v="46"/>
    <n v="2195.4899999999998"/>
    <n v="2247.39"/>
    <n v="103379.93999999999"/>
    <n v="100992.54"/>
    <n v="2387.3999999999942"/>
    <n v="76.190319531158167"/>
    <n v="2463.5903195311525"/>
    <n v="0"/>
    <n v="0"/>
    <n v="0"/>
    <n v="2463.5903195311525"/>
  </r>
  <r>
    <x v="9"/>
    <d v="2021-11-03T00:00:00"/>
    <d v="2021-11-24T00:00:00"/>
    <x v="5"/>
    <n v="9"/>
    <n v="41"/>
    <n v="2195.4899999999998"/>
    <n v="2247.39"/>
    <n v="92142.989999999991"/>
    <n v="90015.09"/>
    <n v="2127.8999999999942"/>
    <n v="67.90876306038011"/>
    <n v="2195.8087630603741"/>
    <n v="0"/>
    <n v="0"/>
    <n v="0"/>
    <n v="2195.8087630603741"/>
  </r>
  <r>
    <x v="10"/>
    <d v="2021-12-03T00:00:00"/>
    <d v="2021-12-27T00:00:00"/>
    <x v="5"/>
    <n v="9"/>
    <n v="40"/>
    <n v="2195.4899999999998"/>
    <n v="2247.39"/>
    <n v="89895.599999999991"/>
    <n v="87819.599999999991"/>
    <n v="2076"/>
    <n v="66.252451766224496"/>
    <n v="2142.2524517662246"/>
    <n v="0"/>
    <n v="0"/>
    <n v="0"/>
    <n v="2142.2524517662246"/>
  </r>
  <r>
    <x v="11"/>
    <d v="2022-01-05T00:00:00"/>
    <d v="2022-01-24T00:00:00"/>
    <x v="5"/>
    <n v="9"/>
    <n v="39"/>
    <n v="2195.4899999999998"/>
    <n v="2247.39"/>
    <n v="87648.209999999992"/>
    <n v="85624.109999999986"/>
    <n v="2024.1000000000058"/>
    <n v="64.596140472068882"/>
    <n v="2088.6961404720746"/>
    <n v="0"/>
    <n v="0"/>
    <n v="0"/>
    <n v="2088.6961404720746"/>
  </r>
  <r>
    <x v="0"/>
    <d v="2021-02-03T00:00:00"/>
    <d v="2021-02-24T00:00:00"/>
    <x v="6"/>
    <n v="9"/>
    <n v="76"/>
    <n v="2195.4899999999998"/>
    <n v="2247.39"/>
    <n v="170801.63999999998"/>
    <n v="166857.24"/>
    <n v="3944.3999999999942"/>
    <n v="125.87965835582654"/>
    <n v="4070.2796583558206"/>
    <n v="0"/>
    <n v="0"/>
    <n v="0"/>
    <n v="4070.2796583558206"/>
  </r>
  <r>
    <x v="1"/>
    <d v="2021-03-03T00:00:00"/>
    <d v="2021-03-24T00:00:00"/>
    <x v="6"/>
    <n v="9"/>
    <n v="99"/>
    <n v="2195.4899999999998"/>
    <n v="2247.39"/>
    <n v="222491.61"/>
    <n v="217353.50999999998"/>
    <n v="5138.1000000000058"/>
    <n v="163.97481812140563"/>
    <n v="5302.0748181214112"/>
    <n v="0"/>
    <n v="0"/>
    <n v="0"/>
    <n v="5302.0748181214112"/>
  </r>
  <r>
    <x v="2"/>
    <d v="2021-04-05T00:00:00"/>
    <d v="2021-04-26T00:00:00"/>
    <x v="6"/>
    <n v="9"/>
    <n v="66"/>
    <n v="2195.4899999999998"/>
    <n v="2247.39"/>
    <n v="148327.74"/>
    <n v="144902.34"/>
    <n v="3425.3999999999942"/>
    <n v="109.31654541427041"/>
    <n v="3534.7165454142646"/>
    <n v="0"/>
    <n v="0"/>
    <n v="0"/>
    <n v="3534.7165454142646"/>
  </r>
  <r>
    <x v="3"/>
    <d v="2021-05-05T00:00:00"/>
    <d v="2021-05-24T00:00:00"/>
    <x v="6"/>
    <n v="9"/>
    <n v="67"/>
    <n v="2195.4899999999998"/>
    <n v="2247.39"/>
    <n v="150575.13"/>
    <n v="147097.82999999999"/>
    <n v="3477.3000000000175"/>
    <n v="110.97285670842602"/>
    <n v="3588.2728567084437"/>
    <n v="0"/>
    <n v="0"/>
    <n v="0"/>
    <n v="3588.2728567084437"/>
  </r>
  <r>
    <x v="4"/>
    <d v="2021-06-03T00:00:00"/>
    <d v="2021-06-24T00:00:00"/>
    <x v="6"/>
    <n v="9"/>
    <n v="101"/>
    <n v="2195.4899999999998"/>
    <n v="2247.39"/>
    <n v="226986.38999999998"/>
    <n v="221744.49"/>
    <n v="5241.8999999999942"/>
    <n v="167.28744070971686"/>
    <n v="5409.1874407097112"/>
    <n v="0"/>
    <n v="0"/>
    <n v="0"/>
    <n v="5409.1874407097112"/>
  </r>
  <r>
    <x v="5"/>
    <d v="2021-07-06T00:00:00"/>
    <d v="2021-07-24T00:00:00"/>
    <x v="6"/>
    <n v="9"/>
    <n v="141"/>
    <n v="2195.4899999999998"/>
    <n v="2247.39"/>
    <n v="316881.99"/>
    <n v="309564.08999999997"/>
    <n v="7317.9000000000233"/>
    <n v="233.53989247594137"/>
    <n v="7551.4398924759644"/>
    <n v="0"/>
    <n v="0"/>
    <n v="0"/>
    <n v="7551.4398924759644"/>
  </r>
  <r>
    <x v="6"/>
    <d v="2021-08-04T00:00:00"/>
    <d v="2021-08-24T00:00:00"/>
    <x v="6"/>
    <n v="9"/>
    <n v="145"/>
    <n v="2195.4899999999998"/>
    <n v="2247.39"/>
    <n v="325871.55"/>
    <n v="318346.05"/>
    <n v="7525.5"/>
    <n v="240.1651376525638"/>
    <n v="7765.6651376525642"/>
    <n v="0"/>
    <n v="0"/>
    <n v="0"/>
    <n v="7765.6651376525642"/>
  </r>
  <r>
    <x v="7"/>
    <d v="2021-09-03T00:00:00"/>
    <d v="2021-09-24T00:00:00"/>
    <x v="6"/>
    <n v="9"/>
    <n v="149"/>
    <n v="2195.4899999999998"/>
    <n v="2247.39"/>
    <n v="334861.11"/>
    <n v="327128.00999999995"/>
    <n v="7733.1000000000349"/>
    <n v="246.79038282918626"/>
    <n v="7979.8903828292214"/>
    <n v="0"/>
    <n v="0"/>
    <n v="0"/>
    <n v="7979.8903828292214"/>
  </r>
  <r>
    <x v="8"/>
    <d v="2021-10-05T00:00:00"/>
    <d v="2021-10-25T00:00:00"/>
    <x v="6"/>
    <n v="9"/>
    <n v="150"/>
    <n v="2195.4899999999998"/>
    <n v="2247.39"/>
    <n v="337108.5"/>
    <n v="329323.49999999994"/>
    <n v="7785.0000000000582"/>
    <n v="248.44669412334187"/>
    <n v="8033.4466941234004"/>
    <n v="0"/>
    <n v="0"/>
    <n v="0"/>
    <n v="8033.4466941234004"/>
  </r>
  <r>
    <x v="9"/>
    <d v="2021-11-03T00:00:00"/>
    <d v="2021-11-24T00:00:00"/>
    <x v="6"/>
    <n v="9"/>
    <n v="114"/>
    <n v="2195.4899999999998"/>
    <n v="2247.39"/>
    <n v="256202.46"/>
    <n v="250285.86"/>
    <n v="5916.6000000000058"/>
    <n v="188.81948753373982"/>
    <n v="6105.4194875337453"/>
    <n v="0"/>
    <n v="0"/>
    <n v="0"/>
    <n v="6105.4194875337453"/>
  </r>
  <r>
    <x v="10"/>
    <d v="2021-12-03T00:00:00"/>
    <d v="2021-12-27T00:00:00"/>
    <x v="6"/>
    <n v="9"/>
    <n v="66"/>
    <n v="2195.4899999999998"/>
    <n v="2247.39"/>
    <n v="148327.74"/>
    <n v="144902.34"/>
    <n v="3425.3999999999942"/>
    <n v="109.31654541427041"/>
    <n v="3534.7165454142646"/>
    <n v="0"/>
    <n v="0"/>
    <n v="0"/>
    <n v="3534.7165454142646"/>
  </r>
  <r>
    <x v="11"/>
    <d v="2022-01-05T00:00:00"/>
    <d v="2022-01-24T00:00:00"/>
    <x v="6"/>
    <n v="9"/>
    <n v="72"/>
    <n v="2195.4899999999998"/>
    <n v="2247.39"/>
    <n v="161812.07999999999"/>
    <n v="158075.27999999997"/>
    <n v="3736.8000000000175"/>
    <n v="119.25441317920409"/>
    <n v="3856.0544131792217"/>
    <n v="0"/>
    <n v="0"/>
    <n v="0"/>
    <n v="3856.0544131792217"/>
  </r>
  <r>
    <x v="0"/>
    <d v="2021-02-03T00:00:00"/>
    <d v="2021-02-24T00:00:00"/>
    <x v="7"/>
    <n v="9"/>
    <n v="37"/>
    <n v="2195.4899999999998"/>
    <n v="2247.39"/>
    <n v="83153.429999999993"/>
    <n v="81233.12999999999"/>
    <n v="1920.3000000000029"/>
    <n v="61.283517883757661"/>
    <n v="1981.5835178837606"/>
    <n v="0"/>
    <n v="0"/>
    <n v="0"/>
    <n v="1981.5835178837606"/>
  </r>
  <r>
    <x v="1"/>
    <d v="2021-03-03T00:00:00"/>
    <d v="2021-03-24T00:00:00"/>
    <x v="7"/>
    <n v="9"/>
    <n v="33"/>
    <n v="2195.4899999999998"/>
    <n v="2247.39"/>
    <n v="74163.87"/>
    <n v="72451.17"/>
    <n v="1712.6999999999971"/>
    <n v="54.658272707135204"/>
    <n v="1767.3582727071323"/>
    <n v="0"/>
    <n v="0"/>
    <n v="0"/>
    <n v="1767.3582727071323"/>
  </r>
  <r>
    <x v="2"/>
    <d v="2021-04-05T00:00:00"/>
    <d v="2021-04-26T00:00:00"/>
    <x v="7"/>
    <n v="9"/>
    <n v="47"/>
    <n v="2195.4899999999998"/>
    <n v="2247.39"/>
    <n v="105627.32999999999"/>
    <n v="103188.02999999998"/>
    <n v="2439.3000000000029"/>
    <n v="77.846630825313781"/>
    <n v="2517.1466308253166"/>
    <n v="0"/>
    <n v="0"/>
    <n v="0"/>
    <n v="2517.1466308253166"/>
  </r>
  <r>
    <x v="3"/>
    <d v="2021-05-05T00:00:00"/>
    <d v="2021-05-24T00:00:00"/>
    <x v="7"/>
    <n v="9"/>
    <n v="39"/>
    <n v="2195.4899999999998"/>
    <n v="2247.39"/>
    <n v="87648.209999999992"/>
    <n v="85624.109999999986"/>
    <n v="2024.1000000000058"/>
    <n v="64.596140472068882"/>
    <n v="2088.6961404720746"/>
    <n v="0"/>
    <n v="0"/>
    <n v="0"/>
    <n v="2088.6961404720746"/>
  </r>
  <r>
    <x v="4"/>
    <d v="2021-06-03T00:00:00"/>
    <d v="2021-06-24T00:00:00"/>
    <x v="7"/>
    <n v="9"/>
    <n v="46"/>
    <n v="2195.4899999999998"/>
    <n v="2247.39"/>
    <n v="103379.93999999999"/>
    <n v="100992.54"/>
    <n v="2387.3999999999942"/>
    <n v="76.190319531158167"/>
    <n v="2463.5903195311525"/>
    <n v="0"/>
    <n v="0"/>
    <n v="0"/>
    <n v="2463.5903195311525"/>
  </r>
  <r>
    <x v="5"/>
    <d v="2021-07-06T00:00:00"/>
    <d v="2021-07-24T00:00:00"/>
    <x v="7"/>
    <n v="9"/>
    <n v="51"/>
    <n v="2195.4899999999998"/>
    <n v="2247.39"/>
    <n v="114616.89"/>
    <n v="111969.98999999999"/>
    <n v="2646.9000000000087"/>
    <n v="84.471876001936238"/>
    <n v="2731.3718760019451"/>
    <n v="0"/>
    <n v="0"/>
    <n v="0"/>
    <n v="2731.3718760019451"/>
  </r>
  <r>
    <x v="6"/>
    <d v="2021-08-04T00:00:00"/>
    <d v="2021-08-24T00:00:00"/>
    <x v="7"/>
    <n v="9"/>
    <n v="46"/>
    <n v="2195.4899999999998"/>
    <n v="2247.39"/>
    <n v="103379.93999999999"/>
    <n v="100992.54"/>
    <n v="2387.3999999999942"/>
    <n v="76.190319531158167"/>
    <n v="2463.5903195311525"/>
    <n v="0"/>
    <n v="0"/>
    <n v="0"/>
    <n v="2463.5903195311525"/>
  </r>
  <r>
    <x v="7"/>
    <d v="2021-09-03T00:00:00"/>
    <d v="2021-09-24T00:00:00"/>
    <x v="7"/>
    <n v="9"/>
    <n v="50"/>
    <n v="2195.4899999999998"/>
    <n v="2247.39"/>
    <n v="112369.5"/>
    <n v="109774.49999999999"/>
    <n v="2595.0000000000146"/>
    <n v="82.815564707780624"/>
    <n v="2677.8155647077951"/>
    <n v="0"/>
    <n v="0"/>
    <n v="0"/>
    <n v="2677.8155647077951"/>
  </r>
  <r>
    <x v="8"/>
    <d v="2021-10-05T00:00:00"/>
    <d v="2021-10-25T00:00:00"/>
    <x v="7"/>
    <n v="9"/>
    <n v="45"/>
    <n v="2195.4899999999998"/>
    <n v="2247.39"/>
    <n v="101132.54999999999"/>
    <n v="98797.049999999988"/>
    <n v="2335.5"/>
    <n v="74.534008237002567"/>
    <n v="2410.0340082370026"/>
    <n v="0"/>
    <n v="0"/>
    <n v="0"/>
    <n v="2410.0340082370026"/>
  </r>
  <r>
    <x v="9"/>
    <d v="2021-11-03T00:00:00"/>
    <d v="2021-11-24T00:00:00"/>
    <x v="7"/>
    <n v="9"/>
    <n v="46"/>
    <n v="2195.4899999999998"/>
    <n v="2247.39"/>
    <n v="103379.93999999999"/>
    <n v="100992.54"/>
    <n v="2387.3999999999942"/>
    <n v="76.190319531158167"/>
    <n v="2463.5903195311525"/>
    <n v="0"/>
    <n v="0"/>
    <n v="0"/>
    <n v="2463.5903195311525"/>
  </r>
  <r>
    <x v="10"/>
    <d v="2021-12-03T00:00:00"/>
    <d v="2021-12-27T00:00:00"/>
    <x v="7"/>
    <n v="9"/>
    <n v="48"/>
    <n v="2195.4899999999998"/>
    <n v="2247.39"/>
    <n v="107874.72"/>
    <n v="105383.51999999999"/>
    <n v="2491.2000000000116"/>
    <n v="79.502942119469395"/>
    <n v="2570.7029421194811"/>
    <n v="0"/>
    <n v="0"/>
    <n v="0"/>
    <n v="2570.7029421194811"/>
  </r>
  <r>
    <x v="11"/>
    <d v="2022-01-05T00:00:00"/>
    <d v="2022-01-24T00:00:00"/>
    <x v="7"/>
    <n v="9"/>
    <n v="42"/>
    <n v="2195.4899999999998"/>
    <n v="2247.39"/>
    <n v="94390.37999999999"/>
    <n v="92210.579999999987"/>
    <n v="2179.8000000000029"/>
    <n v="69.56507435453571"/>
    <n v="2249.3650743545386"/>
    <n v="0"/>
    <n v="0"/>
    <n v="0"/>
    <n v="2249.3650743545386"/>
  </r>
  <r>
    <x v="0"/>
    <d v="2021-02-03T00:00:00"/>
    <d v="2021-02-24T00:00:00"/>
    <x v="8"/>
    <n v="9"/>
    <n v="973"/>
    <n v="2195.4899999999998"/>
    <n v="2247.39"/>
    <n v="2186710.4699999997"/>
    <n v="2136211.77"/>
    <n v="50498.699999999721"/>
    <n v="1611.5908892134107"/>
    <n v="52110.290889213131"/>
    <n v="0"/>
    <n v="0"/>
    <n v="0"/>
    <n v="52110.290889213131"/>
  </r>
  <r>
    <x v="1"/>
    <d v="2021-03-03T00:00:00"/>
    <d v="2021-03-24T00:00:00"/>
    <x v="8"/>
    <n v="9"/>
    <n v="1338"/>
    <n v="2195.4899999999998"/>
    <n v="2247.39"/>
    <n v="3007007.82"/>
    <n v="2937565.6199999996"/>
    <n v="69442.200000000186"/>
    <n v="2216.1445115802094"/>
    <n v="71658.344511580392"/>
    <n v="0"/>
    <n v="0"/>
    <n v="0"/>
    <n v="71658.344511580392"/>
  </r>
  <r>
    <x v="2"/>
    <d v="2021-04-05T00:00:00"/>
    <d v="2021-04-26T00:00:00"/>
    <x v="8"/>
    <n v="9"/>
    <n v="790"/>
    <n v="2195.4899999999998"/>
    <n v="2247.39"/>
    <n v="1775438.0999999999"/>
    <n v="1734437.0999999999"/>
    <n v="41001"/>
    <n v="1308.4859223829337"/>
    <n v="42309.485922382933"/>
    <n v="0"/>
    <n v="0"/>
    <n v="0"/>
    <n v="42309.485922382933"/>
  </r>
  <r>
    <x v="3"/>
    <d v="2021-05-05T00:00:00"/>
    <d v="2021-05-24T00:00:00"/>
    <x v="8"/>
    <n v="9"/>
    <n v="565"/>
    <n v="2195.4899999999998"/>
    <n v="2247.39"/>
    <n v="1269775.3499999999"/>
    <n v="1240451.8499999999"/>
    <n v="29323.5"/>
    <n v="935.81588119792093"/>
    <n v="30259.315881197919"/>
    <n v="0"/>
    <n v="0"/>
    <n v="0"/>
    <n v="30259.315881197919"/>
  </r>
  <r>
    <x v="4"/>
    <d v="2021-06-03T00:00:00"/>
    <d v="2021-06-24T00:00:00"/>
    <x v="8"/>
    <n v="9"/>
    <n v="636"/>
    <n v="2195.4899999999998"/>
    <n v="2247.39"/>
    <n v="1429340.0399999998"/>
    <n v="1396331.64"/>
    <n v="33008.399999999907"/>
    <n v="1053.4139830829695"/>
    <n v="34061.813983082873"/>
    <n v="0"/>
    <n v="0"/>
    <n v="0"/>
    <n v="34061.813983082873"/>
  </r>
  <r>
    <x v="5"/>
    <d v="2021-07-06T00:00:00"/>
    <d v="2021-07-24T00:00:00"/>
    <x v="8"/>
    <n v="9"/>
    <n v="845"/>
    <n v="2195.4899999999998"/>
    <n v="2247.39"/>
    <n v="1899044.5499999998"/>
    <n v="1855189.0499999998"/>
    <n v="43855.5"/>
    <n v="1399.5830435614926"/>
    <n v="45255.083043561492"/>
    <n v="0"/>
    <n v="0"/>
    <n v="0"/>
    <n v="45255.083043561492"/>
  </r>
  <r>
    <x v="6"/>
    <d v="2021-08-04T00:00:00"/>
    <d v="2021-08-24T00:00:00"/>
    <x v="8"/>
    <n v="9"/>
    <n v="897"/>
    <n v="2195.4899999999998"/>
    <n v="2247.39"/>
    <n v="2015908.8299999998"/>
    <n v="1969354.5299999998"/>
    <n v="46554.300000000047"/>
    <n v="1485.7112308575843"/>
    <n v="48040.011230857628"/>
    <n v="0"/>
    <n v="0"/>
    <n v="0"/>
    <n v="48040.011230857628"/>
  </r>
  <r>
    <x v="7"/>
    <d v="2021-09-03T00:00:00"/>
    <d v="2021-09-24T00:00:00"/>
    <x v="8"/>
    <n v="9"/>
    <n v="899"/>
    <n v="2195.4899999999998"/>
    <n v="2247.39"/>
    <n v="2020403.6099999999"/>
    <n v="1973745.5099999998"/>
    <n v="46658.100000000093"/>
    <n v="1489.0238534458956"/>
    <n v="48147.123853445992"/>
    <n v="0"/>
    <n v="0"/>
    <n v="0"/>
    <n v="48147.123853445992"/>
  </r>
  <r>
    <x v="8"/>
    <d v="2021-10-05T00:00:00"/>
    <d v="2021-10-25T00:00:00"/>
    <x v="8"/>
    <n v="9"/>
    <n v="904"/>
    <n v="2195.4899999999998"/>
    <n v="2247.39"/>
    <n v="2031640.5599999998"/>
    <n v="1984722.9599999997"/>
    <n v="46917.600000000093"/>
    <n v="1497.3054099166736"/>
    <n v="48414.90540991677"/>
    <n v="0"/>
    <n v="0"/>
    <n v="0"/>
    <n v="48414.90540991677"/>
  </r>
  <r>
    <x v="9"/>
    <d v="2021-11-03T00:00:00"/>
    <d v="2021-11-24T00:00:00"/>
    <x v="8"/>
    <n v="9"/>
    <n v="685"/>
    <n v="2195.4899999999998"/>
    <n v="2247.39"/>
    <n v="1539462.15"/>
    <n v="1503910.65"/>
    <n v="35551.5"/>
    <n v="1134.5732364965945"/>
    <n v="36686.073236496595"/>
    <n v="0"/>
    <n v="0"/>
    <n v="0"/>
    <n v="36686.073236496595"/>
  </r>
  <r>
    <x v="10"/>
    <d v="2021-12-03T00:00:00"/>
    <d v="2021-12-27T00:00:00"/>
    <x v="8"/>
    <n v="9"/>
    <n v="718"/>
    <n v="2195.4899999999998"/>
    <n v="2247.39"/>
    <n v="1613626.02"/>
    <n v="1576361.8199999998"/>
    <n v="37264.200000000186"/>
    <n v="1189.2315092037297"/>
    <n v="38453.431509203918"/>
    <n v="0"/>
    <n v="0"/>
    <n v="0"/>
    <n v="38453.431509203918"/>
  </r>
  <r>
    <x v="11"/>
    <d v="2022-01-05T00:00:00"/>
    <d v="2022-01-24T00:00:00"/>
    <x v="8"/>
    <n v="9"/>
    <n v="770"/>
    <n v="2195.4899999999998"/>
    <n v="2247.39"/>
    <n v="1730490.2999999998"/>
    <n v="1690527.2999999998"/>
    <n v="39963"/>
    <n v="1275.3596964998214"/>
    <n v="41238.359696499821"/>
    <n v="0"/>
    <n v="0"/>
    <n v="0"/>
    <n v="41238.359696499821"/>
  </r>
  <r>
    <x v="0"/>
    <d v="2021-02-03T00:00:00"/>
    <d v="2021-02-24T00:00:00"/>
    <x v="9"/>
    <n v="9"/>
    <n v="7"/>
    <n v="2195.4899999999998"/>
    <n v="2247.39"/>
    <n v="15731.73"/>
    <n v="15368.429999999998"/>
    <n v="363.30000000000109"/>
    <n v="11.594179059089287"/>
    <n v="374.89417905909039"/>
    <n v="0"/>
    <n v="0"/>
    <n v="0"/>
    <n v="374.89417905909039"/>
  </r>
  <r>
    <x v="1"/>
    <d v="2021-03-03T00:00:00"/>
    <d v="2021-03-24T00:00:00"/>
    <x v="9"/>
    <n v="9"/>
    <n v="8"/>
    <n v="2195.4899999999998"/>
    <n v="2247.39"/>
    <n v="17979.12"/>
    <n v="17563.919999999998"/>
    <n v="415.20000000000073"/>
    <n v="13.250490353244899"/>
    <n v="428.45049035324564"/>
    <n v="0"/>
    <n v="0"/>
    <n v="0"/>
    <n v="428.45049035324564"/>
  </r>
  <r>
    <x v="2"/>
    <d v="2021-04-05T00:00:00"/>
    <d v="2021-04-26T00:00:00"/>
    <x v="9"/>
    <n v="9"/>
    <n v="5"/>
    <n v="2195.4899999999998"/>
    <n v="2247.39"/>
    <n v="11236.949999999999"/>
    <n v="10977.449999999999"/>
    <n v="259.5"/>
    <n v="8.281556470778062"/>
    <n v="267.78155647077807"/>
    <n v="0"/>
    <n v="0"/>
    <n v="0"/>
    <n v="267.78155647077807"/>
  </r>
  <r>
    <x v="3"/>
    <d v="2021-05-05T00:00:00"/>
    <d v="2021-05-24T00:00:00"/>
    <x v="9"/>
    <n v="9"/>
    <n v="6"/>
    <n v="2195.4899999999998"/>
    <n v="2247.39"/>
    <n v="13484.34"/>
    <n v="13172.939999999999"/>
    <n v="311.40000000000146"/>
    <n v="9.9378677649336744"/>
    <n v="321.33786776493514"/>
    <n v="0"/>
    <n v="0"/>
    <n v="0"/>
    <n v="321.33786776493514"/>
  </r>
  <r>
    <x v="4"/>
    <d v="2021-06-03T00:00:00"/>
    <d v="2021-06-24T00:00:00"/>
    <x v="9"/>
    <n v="9"/>
    <n v="4"/>
    <n v="2195.4899999999998"/>
    <n v="2247.39"/>
    <n v="8989.56"/>
    <n v="8781.9599999999991"/>
    <n v="207.60000000000036"/>
    <n v="6.6252451766224496"/>
    <n v="214.22524517662282"/>
    <n v="0"/>
    <n v="0"/>
    <n v="0"/>
    <n v="214.22524517662282"/>
  </r>
  <r>
    <x v="5"/>
    <d v="2021-07-06T00:00:00"/>
    <d v="2021-07-24T00:00:00"/>
    <x v="9"/>
    <n v="9"/>
    <n v="13"/>
    <n v="2195.4899999999998"/>
    <n v="2247.39"/>
    <n v="29216.07"/>
    <n v="28541.369999999995"/>
    <n v="674.70000000000437"/>
    <n v="21.532046824022963"/>
    <n v="696.23204682402729"/>
    <n v="0"/>
    <n v="0"/>
    <n v="0"/>
    <n v="696.23204682402729"/>
  </r>
  <r>
    <x v="6"/>
    <d v="2021-08-04T00:00:00"/>
    <d v="2021-08-24T00:00:00"/>
    <x v="9"/>
    <n v="9"/>
    <n v="17"/>
    <n v="2195.4899999999998"/>
    <n v="2247.39"/>
    <n v="38205.629999999997"/>
    <n v="37323.329999999994"/>
    <n v="882.30000000000291"/>
    <n v="28.157292000645413"/>
    <n v="910.45729200064829"/>
    <n v="0"/>
    <n v="0"/>
    <n v="0"/>
    <n v="910.45729200064829"/>
  </r>
  <r>
    <x v="7"/>
    <d v="2021-09-03T00:00:00"/>
    <d v="2021-09-24T00:00:00"/>
    <x v="9"/>
    <n v="9"/>
    <n v="17"/>
    <n v="2195.4899999999998"/>
    <n v="2247.39"/>
    <n v="38205.629999999997"/>
    <n v="37323.329999999994"/>
    <n v="882.30000000000291"/>
    <n v="28.157292000645413"/>
    <n v="910.45729200064829"/>
    <n v="0"/>
    <n v="0"/>
    <n v="0"/>
    <n v="910.45729200064829"/>
  </r>
  <r>
    <x v="8"/>
    <d v="2021-10-05T00:00:00"/>
    <d v="2021-10-25T00:00:00"/>
    <x v="9"/>
    <n v="9"/>
    <n v="16"/>
    <n v="2195.4899999999998"/>
    <n v="2247.39"/>
    <n v="35958.239999999998"/>
    <n v="35127.839999999997"/>
    <n v="830.40000000000146"/>
    <n v="26.500980706489798"/>
    <n v="856.90098070649128"/>
    <n v="0"/>
    <n v="0"/>
    <n v="0"/>
    <n v="856.90098070649128"/>
  </r>
  <r>
    <x v="9"/>
    <d v="2021-11-03T00:00:00"/>
    <d v="2021-11-24T00:00:00"/>
    <x v="9"/>
    <n v="9"/>
    <n v="5"/>
    <n v="2195.4899999999998"/>
    <n v="2247.39"/>
    <n v="11236.949999999999"/>
    <n v="10977.449999999999"/>
    <n v="259.5"/>
    <n v="8.281556470778062"/>
    <n v="267.78155647077807"/>
    <n v="0"/>
    <n v="0"/>
    <n v="0"/>
    <n v="267.78155647077807"/>
  </r>
  <r>
    <x v="10"/>
    <d v="2021-12-03T00:00:00"/>
    <d v="2021-12-27T00:00:00"/>
    <x v="9"/>
    <n v="9"/>
    <n v="5"/>
    <n v="2195.4899999999998"/>
    <n v="2247.39"/>
    <n v="11236.949999999999"/>
    <n v="10977.449999999999"/>
    <n v="259.5"/>
    <n v="8.281556470778062"/>
    <n v="267.78155647077807"/>
    <n v="0"/>
    <n v="0"/>
    <n v="0"/>
    <n v="267.78155647077807"/>
  </r>
  <r>
    <x v="11"/>
    <d v="2022-01-05T00:00:00"/>
    <d v="2022-01-24T00:00:00"/>
    <x v="9"/>
    <n v="9"/>
    <n v="6"/>
    <n v="2195.4899999999998"/>
    <n v="2247.39"/>
    <n v="13484.34"/>
    <n v="13172.939999999999"/>
    <n v="311.40000000000146"/>
    <n v="9.9378677649336744"/>
    <n v="321.33786776493514"/>
    <n v="0"/>
    <n v="0"/>
    <n v="0"/>
    <n v="321.33786776493514"/>
  </r>
  <r>
    <x v="0"/>
    <d v="2021-02-03T00:00:00"/>
    <d v="2021-02-24T00:00:00"/>
    <x v="10"/>
    <n v="9"/>
    <n v="3"/>
    <n v="2195.4899999999998"/>
    <n v="2247.39"/>
    <n v="6742.17"/>
    <n v="6586.4699999999993"/>
    <n v="155.70000000000073"/>
    <n v="4.9689338824668372"/>
    <n v="160.66893388246757"/>
    <n v="0"/>
    <n v="0"/>
    <n v="0"/>
    <n v="160.66893388246757"/>
  </r>
  <r>
    <x v="1"/>
    <d v="2021-03-03T00:00:00"/>
    <d v="2021-03-24T00:00:00"/>
    <x v="10"/>
    <n v="9"/>
    <n v="5"/>
    <n v="2195.4899999999998"/>
    <n v="2247.39"/>
    <n v="11236.949999999999"/>
    <n v="10977.449999999999"/>
    <n v="259.5"/>
    <n v="8.281556470778062"/>
    <n v="267.78155647077807"/>
    <n v="0"/>
    <n v="0"/>
    <n v="0"/>
    <n v="267.78155647077807"/>
  </r>
  <r>
    <x v="2"/>
    <d v="2021-04-05T00:00:00"/>
    <d v="2021-04-26T00:00:00"/>
    <x v="10"/>
    <n v="9"/>
    <n v="4"/>
    <n v="2195.4899999999998"/>
    <n v="2247.39"/>
    <n v="8989.56"/>
    <n v="8781.9599999999991"/>
    <n v="207.60000000000036"/>
    <n v="6.6252451766224496"/>
    <n v="214.22524517662282"/>
    <n v="0"/>
    <n v="0"/>
    <n v="0"/>
    <n v="214.22524517662282"/>
  </r>
  <r>
    <x v="3"/>
    <d v="2021-05-05T00:00:00"/>
    <d v="2021-05-24T00:00:00"/>
    <x v="10"/>
    <n v="9"/>
    <n v="4"/>
    <n v="2195.4899999999998"/>
    <n v="2247.39"/>
    <n v="8989.56"/>
    <n v="8781.9599999999991"/>
    <n v="207.60000000000036"/>
    <n v="6.6252451766224496"/>
    <n v="214.22524517662282"/>
    <n v="0"/>
    <n v="0"/>
    <n v="0"/>
    <n v="214.22524517662282"/>
  </r>
  <r>
    <x v="4"/>
    <d v="2021-06-03T00:00:00"/>
    <d v="2021-06-24T00:00:00"/>
    <x v="10"/>
    <n v="9"/>
    <n v="3"/>
    <n v="2195.4899999999998"/>
    <n v="2247.39"/>
    <n v="6742.17"/>
    <n v="6586.4699999999993"/>
    <n v="155.70000000000073"/>
    <n v="4.9689338824668372"/>
    <n v="160.66893388246757"/>
    <n v="0"/>
    <n v="0"/>
    <n v="0"/>
    <n v="160.66893388246757"/>
  </r>
  <r>
    <x v="5"/>
    <d v="2021-07-06T00:00:00"/>
    <d v="2021-07-24T00:00:00"/>
    <x v="10"/>
    <n v="9"/>
    <n v="5"/>
    <n v="2195.4899999999998"/>
    <n v="2247.39"/>
    <n v="11236.949999999999"/>
    <n v="10977.449999999999"/>
    <n v="259.5"/>
    <n v="8.281556470778062"/>
    <n v="267.78155647077807"/>
    <n v="0"/>
    <n v="0"/>
    <n v="0"/>
    <n v="267.78155647077807"/>
  </r>
  <r>
    <x v="6"/>
    <d v="2021-08-04T00:00:00"/>
    <d v="2021-08-24T00:00:00"/>
    <x v="10"/>
    <n v="9"/>
    <n v="5"/>
    <n v="2195.4899999999998"/>
    <n v="2247.39"/>
    <n v="11236.949999999999"/>
    <n v="10977.449999999999"/>
    <n v="259.5"/>
    <n v="8.281556470778062"/>
    <n v="267.78155647077807"/>
    <n v="0"/>
    <n v="0"/>
    <n v="0"/>
    <n v="267.78155647077807"/>
  </r>
  <r>
    <x v="7"/>
    <d v="2021-09-03T00:00:00"/>
    <d v="2021-09-24T00:00:00"/>
    <x v="10"/>
    <n v="9"/>
    <n v="4"/>
    <n v="2195.4899999999998"/>
    <n v="2247.39"/>
    <n v="8989.56"/>
    <n v="8781.9599999999991"/>
    <n v="207.60000000000036"/>
    <n v="6.6252451766224496"/>
    <n v="214.22524517662282"/>
    <n v="0"/>
    <n v="0"/>
    <n v="0"/>
    <n v="214.22524517662282"/>
  </r>
  <r>
    <x v="8"/>
    <d v="2021-10-05T00:00:00"/>
    <d v="2021-10-25T00:00:00"/>
    <x v="10"/>
    <n v="9"/>
    <n v="4"/>
    <n v="2195.4899999999998"/>
    <n v="2247.39"/>
    <n v="8989.56"/>
    <n v="8781.9599999999991"/>
    <n v="207.60000000000036"/>
    <n v="6.6252451766224496"/>
    <n v="214.22524517662282"/>
    <n v="0"/>
    <n v="0"/>
    <n v="0"/>
    <n v="214.22524517662282"/>
  </r>
  <r>
    <x v="9"/>
    <d v="2021-11-03T00:00:00"/>
    <d v="2021-11-24T00:00:00"/>
    <x v="10"/>
    <n v="9"/>
    <n v="4"/>
    <n v="2195.4899999999998"/>
    <n v="2247.39"/>
    <n v="8989.56"/>
    <n v="8781.9599999999991"/>
    <n v="207.60000000000036"/>
    <n v="6.6252451766224496"/>
    <n v="214.22524517662282"/>
    <n v="0"/>
    <n v="0"/>
    <n v="0"/>
    <n v="214.22524517662282"/>
  </r>
  <r>
    <x v="10"/>
    <d v="2021-12-03T00:00:00"/>
    <d v="2021-12-27T00:00:00"/>
    <x v="10"/>
    <n v="9"/>
    <n v="4"/>
    <n v="2195.4899999999998"/>
    <n v="2247.39"/>
    <n v="8989.56"/>
    <n v="8781.9599999999991"/>
    <n v="207.60000000000036"/>
    <n v="6.6252451766224496"/>
    <n v="214.22524517662282"/>
    <n v="0"/>
    <n v="0"/>
    <n v="0"/>
    <n v="214.22524517662282"/>
  </r>
  <r>
    <x v="11"/>
    <d v="2022-01-05T00:00:00"/>
    <d v="2022-01-24T00:00:00"/>
    <x v="10"/>
    <n v="9"/>
    <n v="1"/>
    <n v="2195.4899999999998"/>
    <n v="2247.39"/>
    <n v="2247.39"/>
    <n v="2195.4899999999998"/>
    <n v="51.900000000000091"/>
    <n v="1.6563112941556124"/>
    <n v="53.556311294155705"/>
    <n v="0"/>
    <n v="0"/>
    <n v="0"/>
    <n v="53.556311294155705"/>
  </r>
  <r>
    <x v="0"/>
    <d v="2021-02-03T00:00:00"/>
    <d v="2021-02-24T00:00:00"/>
    <x v="11"/>
    <n v="9"/>
    <n v="104"/>
    <n v="2195.4899999999998"/>
    <n v="2247.39"/>
    <n v="233728.56"/>
    <n v="228330.95999999996"/>
    <n v="5397.6000000000349"/>
    <n v="172.2563745921837"/>
    <n v="5569.8563745922183"/>
    <n v="0"/>
    <n v="0"/>
    <n v="0"/>
    <n v="5569.8563745922183"/>
  </r>
  <r>
    <x v="1"/>
    <d v="2021-03-03T00:00:00"/>
    <d v="2021-03-24T00:00:00"/>
    <x v="11"/>
    <n v="9"/>
    <n v="133"/>
    <n v="2195.4899999999998"/>
    <n v="2247.39"/>
    <n v="298902.87"/>
    <n v="292000.17"/>
    <n v="6902.7000000000116"/>
    <n v="220.28940212269643"/>
    <n v="7122.9894021227083"/>
    <n v="0"/>
    <n v="0"/>
    <n v="0"/>
    <n v="7122.9894021227083"/>
  </r>
  <r>
    <x v="2"/>
    <d v="2021-04-05T00:00:00"/>
    <d v="2021-04-26T00:00:00"/>
    <x v="11"/>
    <n v="9"/>
    <n v="87"/>
    <n v="2195.4899999999998"/>
    <n v="2247.39"/>
    <n v="195522.93"/>
    <n v="191007.62999999998"/>
    <n v="4515.3000000000175"/>
    <n v="144.09908259153829"/>
    <n v="4659.3990825915562"/>
    <n v="0"/>
    <n v="0"/>
    <n v="0"/>
    <n v="4659.3990825915562"/>
  </r>
  <r>
    <x v="3"/>
    <d v="2021-05-05T00:00:00"/>
    <d v="2021-05-24T00:00:00"/>
    <x v="11"/>
    <n v="9"/>
    <n v="77"/>
    <n v="2195.4899999999998"/>
    <n v="2247.39"/>
    <n v="173049.03"/>
    <n v="169052.72999999998"/>
    <n v="3996.3000000000175"/>
    <n v="127.53596964998215"/>
    <n v="4123.8359696499992"/>
    <n v="0"/>
    <n v="0"/>
    <n v="0"/>
    <n v="4123.8359696499992"/>
  </r>
  <r>
    <x v="4"/>
    <d v="2021-06-03T00:00:00"/>
    <d v="2021-06-24T00:00:00"/>
    <x v="11"/>
    <n v="9"/>
    <n v="104"/>
    <n v="2195.4899999999998"/>
    <n v="2247.39"/>
    <n v="233728.56"/>
    <n v="228330.95999999996"/>
    <n v="5397.6000000000349"/>
    <n v="172.2563745921837"/>
    <n v="5569.8563745922183"/>
    <n v="0"/>
    <n v="0"/>
    <n v="0"/>
    <n v="5569.8563745922183"/>
  </r>
  <r>
    <x v="5"/>
    <d v="2021-07-06T00:00:00"/>
    <d v="2021-07-24T00:00:00"/>
    <x v="11"/>
    <n v="9"/>
    <n v="144"/>
    <n v="2195.4899999999998"/>
    <n v="2247.39"/>
    <n v="323624.15999999997"/>
    <n v="316150.55999999994"/>
    <n v="7473.6000000000349"/>
    <n v="238.50882635840819"/>
    <n v="7712.1088263584434"/>
    <n v="0"/>
    <n v="0"/>
    <n v="0"/>
    <n v="7712.1088263584434"/>
  </r>
  <r>
    <x v="6"/>
    <d v="2021-08-04T00:00:00"/>
    <d v="2021-08-24T00:00:00"/>
    <x v="11"/>
    <n v="9"/>
    <n v="161"/>
    <n v="2195.4899999999998"/>
    <n v="2247.39"/>
    <n v="361829.79"/>
    <n v="353473.88999999996"/>
    <n v="8355.9000000000233"/>
    <n v="266.6661183590536"/>
    <n v="8622.5661183590764"/>
    <n v="0"/>
    <n v="0"/>
    <n v="0"/>
    <n v="8622.5661183590764"/>
  </r>
  <r>
    <x v="7"/>
    <d v="2021-09-03T00:00:00"/>
    <d v="2021-09-24T00:00:00"/>
    <x v="11"/>
    <n v="9"/>
    <n v="163"/>
    <n v="2195.4899999999998"/>
    <n v="2247.39"/>
    <n v="366324.57"/>
    <n v="357864.86999999994"/>
    <n v="8459.7000000000698"/>
    <n v="269.97874094736483"/>
    <n v="8729.6787409474346"/>
    <n v="0"/>
    <n v="0"/>
    <n v="0"/>
    <n v="8729.6787409474346"/>
  </r>
  <r>
    <x v="8"/>
    <d v="2021-10-05T00:00:00"/>
    <d v="2021-10-25T00:00:00"/>
    <x v="11"/>
    <n v="9"/>
    <n v="153"/>
    <n v="2195.4899999999998"/>
    <n v="2247.39"/>
    <n v="343850.67"/>
    <n v="335909.97"/>
    <n v="7940.7000000000116"/>
    <n v="253.41562800580868"/>
    <n v="8194.1156280058203"/>
    <n v="0"/>
    <n v="0"/>
    <n v="0"/>
    <n v="8194.1156280058203"/>
  </r>
  <r>
    <x v="9"/>
    <d v="2021-11-03T00:00:00"/>
    <d v="2021-11-24T00:00:00"/>
    <x v="11"/>
    <n v="9"/>
    <n v="117"/>
    <n v="2195.4899999999998"/>
    <n v="2247.39"/>
    <n v="262944.63"/>
    <n v="256872.33"/>
    <n v="6072.3000000000175"/>
    <n v="193.78842141620666"/>
    <n v="6266.0884214162243"/>
    <n v="0"/>
    <n v="0"/>
    <n v="0"/>
    <n v="6266.0884214162243"/>
  </r>
  <r>
    <x v="10"/>
    <d v="2021-12-03T00:00:00"/>
    <d v="2021-12-27T00:00:00"/>
    <x v="11"/>
    <n v="9"/>
    <n v="91"/>
    <n v="2195.4899999999998"/>
    <n v="2247.39"/>
    <n v="204512.49"/>
    <n v="199789.58999999997"/>
    <n v="4722.9000000000233"/>
    <n v="150.72432776816072"/>
    <n v="4873.6243277681842"/>
    <n v="0"/>
    <n v="0"/>
    <n v="0"/>
    <n v="4873.6243277681842"/>
  </r>
  <r>
    <x v="11"/>
    <d v="2022-01-05T00:00:00"/>
    <d v="2022-01-24T00:00:00"/>
    <x v="11"/>
    <n v="9"/>
    <n v="94"/>
    <n v="2195.4899999999998"/>
    <n v="2247.39"/>
    <n v="211254.65999999997"/>
    <n v="206376.05999999997"/>
    <n v="4878.6000000000058"/>
    <n v="155.69326165062756"/>
    <n v="5034.2932616506332"/>
    <n v="0"/>
    <n v="0"/>
    <n v="0"/>
    <n v="5034.2932616506332"/>
  </r>
  <r>
    <x v="0"/>
    <d v="2021-02-03T00:00:00"/>
    <d v="2021-02-24T00:00:00"/>
    <x v="12"/>
    <n v="9"/>
    <n v="11"/>
    <n v="2195.4899999999998"/>
    <n v="2247.39"/>
    <n v="24721.289999999997"/>
    <n v="24150.39"/>
    <n v="570.89999999999782"/>
    <n v="18.219424235711738"/>
    <n v="589.11942423570952"/>
    <n v="0"/>
    <n v="0"/>
    <n v="0"/>
    <n v="589.11942423570952"/>
  </r>
  <r>
    <x v="1"/>
    <d v="2021-03-03T00:00:00"/>
    <d v="2021-03-24T00:00:00"/>
    <x v="12"/>
    <n v="9"/>
    <n v="8"/>
    <n v="2195.4899999999998"/>
    <n v="2247.39"/>
    <n v="17979.12"/>
    <n v="17563.919999999998"/>
    <n v="415.20000000000073"/>
    <n v="13.250490353244899"/>
    <n v="428.45049035324564"/>
    <n v="0"/>
    <n v="0"/>
    <n v="0"/>
    <n v="428.45049035324564"/>
  </r>
  <r>
    <x v="2"/>
    <d v="2021-04-05T00:00:00"/>
    <d v="2021-04-26T00:00:00"/>
    <x v="12"/>
    <n v="9"/>
    <n v="7"/>
    <n v="2195.4899999999998"/>
    <n v="2247.39"/>
    <n v="15731.73"/>
    <n v="15368.429999999998"/>
    <n v="363.30000000000109"/>
    <n v="11.594179059089287"/>
    <n v="374.89417905909039"/>
    <n v="0"/>
    <n v="0"/>
    <n v="0"/>
    <n v="374.89417905909039"/>
  </r>
  <r>
    <x v="3"/>
    <d v="2021-05-05T00:00:00"/>
    <d v="2021-05-24T00:00:00"/>
    <x v="12"/>
    <n v="9"/>
    <n v="12"/>
    <n v="2195.4899999999998"/>
    <n v="2247.39"/>
    <n v="26968.68"/>
    <n v="26345.879999999997"/>
    <n v="622.80000000000291"/>
    <n v="19.875735529867349"/>
    <n v="642.67573552987028"/>
    <n v="0"/>
    <n v="0"/>
    <n v="0"/>
    <n v="642.67573552987028"/>
  </r>
  <r>
    <x v="4"/>
    <d v="2021-06-03T00:00:00"/>
    <d v="2021-06-24T00:00:00"/>
    <x v="12"/>
    <n v="9"/>
    <n v="11"/>
    <n v="2195.4899999999998"/>
    <n v="2247.39"/>
    <n v="24721.289999999997"/>
    <n v="24150.39"/>
    <n v="570.89999999999782"/>
    <n v="18.219424235711738"/>
    <n v="589.11942423570952"/>
    <n v="0"/>
    <n v="0"/>
    <n v="0"/>
    <n v="589.11942423570952"/>
  </r>
  <r>
    <x v="5"/>
    <d v="2021-07-06T00:00:00"/>
    <d v="2021-07-24T00:00:00"/>
    <x v="12"/>
    <n v="9"/>
    <n v="13"/>
    <n v="2195.4899999999998"/>
    <n v="2247.39"/>
    <n v="29216.07"/>
    <n v="28541.369999999995"/>
    <n v="674.70000000000437"/>
    <n v="21.532046824022963"/>
    <n v="696.23204682402729"/>
    <n v="0"/>
    <n v="0"/>
    <n v="0"/>
    <n v="696.23204682402729"/>
  </r>
  <r>
    <x v="6"/>
    <d v="2021-08-04T00:00:00"/>
    <d v="2021-08-24T00:00:00"/>
    <x v="12"/>
    <n v="9"/>
    <n v="13"/>
    <n v="2195.4899999999998"/>
    <n v="2247.39"/>
    <n v="29216.07"/>
    <n v="28541.369999999995"/>
    <n v="674.70000000000437"/>
    <n v="21.532046824022963"/>
    <n v="696.23204682402729"/>
    <n v="0"/>
    <n v="0"/>
    <n v="0"/>
    <n v="696.23204682402729"/>
  </r>
  <r>
    <x v="7"/>
    <d v="2021-09-03T00:00:00"/>
    <d v="2021-09-24T00:00:00"/>
    <x v="12"/>
    <n v="9"/>
    <n v="12"/>
    <n v="2195.4899999999998"/>
    <n v="2247.39"/>
    <n v="26968.68"/>
    <n v="26345.879999999997"/>
    <n v="622.80000000000291"/>
    <n v="19.875735529867349"/>
    <n v="642.67573552987028"/>
    <n v="0"/>
    <n v="0"/>
    <n v="0"/>
    <n v="642.67573552987028"/>
  </r>
  <r>
    <x v="8"/>
    <d v="2021-10-05T00:00:00"/>
    <d v="2021-10-25T00:00:00"/>
    <x v="12"/>
    <n v="9"/>
    <n v="13"/>
    <n v="2195.4899999999998"/>
    <n v="2247.39"/>
    <n v="29216.07"/>
    <n v="28541.369999999995"/>
    <n v="674.70000000000437"/>
    <n v="21.532046824022963"/>
    <n v="696.23204682402729"/>
    <n v="0"/>
    <n v="0"/>
    <n v="0"/>
    <n v="696.23204682402729"/>
  </r>
  <r>
    <x v="9"/>
    <d v="2021-11-03T00:00:00"/>
    <d v="2021-11-24T00:00:00"/>
    <x v="12"/>
    <n v="9"/>
    <n v="8"/>
    <n v="2195.4899999999998"/>
    <n v="2247.39"/>
    <n v="17979.12"/>
    <n v="17563.919999999998"/>
    <n v="415.20000000000073"/>
    <n v="13.250490353244899"/>
    <n v="428.45049035324564"/>
    <n v="0"/>
    <n v="0"/>
    <n v="0"/>
    <n v="428.45049035324564"/>
  </r>
  <r>
    <x v="10"/>
    <d v="2021-12-03T00:00:00"/>
    <d v="2021-12-27T00:00:00"/>
    <x v="12"/>
    <n v="9"/>
    <n v="8"/>
    <n v="2195.4899999999998"/>
    <n v="2247.39"/>
    <n v="17979.12"/>
    <n v="17563.919999999998"/>
    <n v="415.20000000000073"/>
    <n v="13.250490353244899"/>
    <n v="428.45049035324564"/>
    <n v="0"/>
    <n v="0"/>
    <n v="0"/>
    <n v="428.45049035324564"/>
  </r>
  <r>
    <x v="11"/>
    <d v="2022-01-05T00:00:00"/>
    <d v="2022-01-24T00:00:00"/>
    <x v="12"/>
    <n v="9"/>
    <n v="11"/>
    <n v="2195.4899999999998"/>
    <n v="2247.39"/>
    <n v="24721.289999999997"/>
    <n v="24150.39"/>
    <n v="570.89999999999782"/>
    <n v="18.219424235711738"/>
    <n v="589.11942423570952"/>
    <n v="0"/>
    <n v="0"/>
    <n v="0"/>
    <n v="589.11942423570952"/>
  </r>
  <r>
    <x v="0"/>
    <d v="2021-02-03T00:00:00"/>
    <d v="2021-02-24T00:00:00"/>
    <x v="13"/>
    <n v="9"/>
    <n v="20"/>
    <n v="2195.4899999999998"/>
    <n v="2247.39"/>
    <n v="44947.799999999996"/>
    <n v="43909.799999999996"/>
    <n v="1038"/>
    <n v="33.126225883112248"/>
    <n v="1071.1262258831123"/>
    <n v="0"/>
    <n v="0"/>
    <n v="0"/>
    <n v="1071.1262258831123"/>
  </r>
  <r>
    <x v="1"/>
    <d v="2021-03-03T00:00:00"/>
    <d v="2021-03-24T00:00:00"/>
    <x v="13"/>
    <n v="9"/>
    <n v="23"/>
    <n v="2195.4899999999998"/>
    <n v="2247.39"/>
    <n v="51689.969999999994"/>
    <n v="50496.27"/>
    <n v="1193.6999999999971"/>
    <n v="38.095159765579083"/>
    <n v="1231.7951597655763"/>
    <n v="0"/>
    <n v="0"/>
    <n v="0"/>
    <n v="1231.7951597655763"/>
  </r>
  <r>
    <x v="2"/>
    <d v="2021-04-05T00:00:00"/>
    <d v="2021-04-26T00:00:00"/>
    <x v="13"/>
    <n v="9"/>
    <n v="16"/>
    <n v="2195.4899999999998"/>
    <n v="2247.39"/>
    <n v="35958.239999999998"/>
    <n v="35127.839999999997"/>
    <n v="830.40000000000146"/>
    <n v="26.500980706489798"/>
    <n v="856.90098070649128"/>
    <n v="0"/>
    <n v="0"/>
    <n v="0"/>
    <n v="856.90098070649128"/>
  </r>
  <r>
    <x v="3"/>
    <d v="2021-05-05T00:00:00"/>
    <d v="2021-05-24T00:00:00"/>
    <x v="13"/>
    <n v="9"/>
    <n v="20"/>
    <n v="2195.4899999999998"/>
    <n v="2247.39"/>
    <n v="44947.799999999996"/>
    <n v="43909.799999999996"/>
    <n v="1038"/>
    <n v="33.126225883112248"/>
    <n v="1071.1262258831123"/>
    <n v="0"/>
    <n v="0"/>
    <n v="0"/>
    <n v="1071.1262258831123"/>
  </r>
  <r>
    <x v="4"/>
    <d v="2021-06-03T00:00:00"/>
    <d v="2021-06-24T00:00:00"/>
    <x v="13"/>
    <n v="9"/>
    <n v="27"/>
    <n v="2195.4899999999998"/>
    <n v="2247.39"/>
    <n v="60679.53"/>
    <n v="59278.229999999996"/>
    <n v="1401.3000000000029"/>
    <n v="44.720404942201533"/>
    <n v="1446.0204049422046"/>
    <n v="0"/>
    <n v="0"/>
    <n v="0"/>
    <n v="1446.0204049422046"/>
  </r>
  <r>
    <x v="5"/>
    <d v="2021-07-06T00:00:00"/>
    <d v="2021-07-24T00:00:00"/>
    <x v="13"/>
    <n v="9"/>
    <n v="32"/>
    <n v="2195.4899999999998"/>
    <n v="2247.39"/>
    <n v="71916.479999999996"/>
    <n v="70255.679999999993"/>
    <n v="1660.8000000000029"/>
    <n v="53.001961412979597"/>
    <n v="1713.8019614129826"/>
    <n v="0"/>
    <n v="0"/>
    <n v="0"/>
    <n v="1713.8019614129826"/>
  </r>
  <r>
    <x v="6"/>
    <d v="2021-08-04T00:00:00"/>
    <d v="2021-08-24T00:00:00"/>
    <x v="13"/>
    <n v="9"/>
    <n v="37"/>
    <n v="2195.4899999999998"/>
    <n v="2247.39"/>
    <n v="83153.429999999993"/>
    <n v="81233.12999999999"/>
    <n v="1920.3000000000029"/>
    <n v="61.283517883757661"/>
    <n v="1981.5835178837606"/>
    <n v="0"/>
    <n v="0"/>
    <n v="0"/>
    <n v="1981.5835178837606"/>
  </r>
  <r>
    <x v="7"/>
    <d v="2021-09-03T00:00:00"/>
    <d v="2021-09-24T00:00:00"/>
    <x v="13"/>
    <n v="9"/>
    <n v="33"/>
    <n v="2195.4899999999998"/>
    <n v="2247.39"/>
    <n v="74163.87"/>
    <n v="72451.17"/>
    <n v="1712.6999999999971"/>
    <n v="54.658272707135204"/>
    <n v="1767.3582727071323"/>
    <n v="0"/>
    <n v="0"/>
    <n v="0"/>
    <n v="1767.3582727071323"/>
  </r>
  <r>
    <x v="8"/>
    <d v="2021-10-05T00:00:00"/>
    <d v="2021-10-25T00:00:00"/>
    <x v="13"/>
    <n v="9"/>
    <n v="37"/>
    <n v="2195.4899999999998"/>
    <n v="2247.39"/>
    <n v="83153.429999999993"/>
    <n v="81233.12999999999"/>
    <n v="1920.3000000000029"/>
    <n v="61.283517883757661"/>
    <n v="1981.5835178837606"/>
    <n v="0"/>
    <n v="0"/>
    <n v="0"/>
    <n v="1981.5835178837606"/>
  </r>
  <r>
    <x v="9"/>
    <d v="2021-11-03T00:00:00"/>
    <d v="2021-11-24T00:00:00"/>
    <x v="13"/>
    <n v="9"/>
    <n v="27"/>
    <n v="2195.4899999999998"/>
    <n v="2247.39"/>
    <n v="60679.53"/>
    <n v="59278.229999999996"/>
    <n v="1401.3000000000029"/>
    <n v="44.720404942201533"/>
    <n v="1446.0204049422046"/>
    <n v="0"/>
    <n v="0"/>
    <n v="0"/>
    <n v="1446.0204049422046"/>
  </r>
  <r>
    <x v="10"/>
    <d v="2021-12-03T00:00:00"/>
    <d v="2021-12-27T00:00:00"/>
    <x v="13"/>
    <n v="9"/>
    <n v="16"/>
    <n v="2195.4899999999998"/>
    <n v="2247.39"/>
    <n v="35958.239999999998"/>
    <n v="35127.839999999997"/>
    <n v="830.40000000000146"/>
    <n v="26.500980706489798"/>
    <n v="856.90098070649128"/>
    <n v="0"/>
    <n v="0"/>
    <n v="0"/>
    <n v="856.90098070649128"/>
  </r>
  <r>
    <x v="11"/>
    <d v="2022-01-05T00:00:00"/>
    <d v="2022-01-24T00:00:00"/>
    <x v="13"/>
    <n v="9"/>
    <n v="19"/>
    <n v="2195.4899999999998"/>
    <n v="2247.39"/>
    <n v="42700.409999999996"/>
    <n v="41714.31"/>
    <n v="986.09999999999854"/>
    <n v="31.469914588956634"/>
    <n v="1017.5699145889552"/>
    <n v="0"/>
    <n v="0"/>
    <n v="0"/>
    <n v="1017.5699145889552"/>
  </r>
  <r>
    <x v="0"/>
    <d v="2021-02-03T00:00:00"/>
    <d v="2021-02-24T00:00:00"/>
    <x v="14"/>
    <n v="9"/>
    <n v="35"/>
    <n v="2195.4899999999998"/>
    <n v="2247.39"/>
    <n v="78658.649999999994"/>
    <n v="76842.149999999994"/>
    <n v="1816.5"/>
    <n v="57.970895295446439"/>
    <n v="1874.4708952954466"/>
    <n v="0"/>
    <n v="0"/>
    <n v="0"/>
    <n v="1874.4708952954466"/>
  </r>
  <r>
    <x v="1"/>
    <d v="2021-03-03T00:00:00"/>
    <d v="2021-03-24T00:00:00"/>
    <x v="14"/>
    <n v="9"/>
    <n v="33"/>
    <n v="2195.4899999999998"/>
    <n v="2247.39"/>
    <n v="74163.87"/>
    <n v="72451.17"/>
    <n v="1712.6999999999971"/>
    <n v="54.658272707135204"/>
    <n v="1767.3582727071323"/>
    <n v="0"/>
    <n v="0"/>
    <n v="0"/>
    <n v="1767.3582727071323"/>
  </r>
  <r>
    <x v="2"/>
    <d v="2021-04-05T00:00:00"/>
    <d v="2021-04-26T00:00:00"/>
    <x v="14"/>
    <n v="9"/>
    <n v="30"/>
    <n v="2195.4899999999998"/>
    <n v="2247.39"/>
    <n v="67421.7"/>
    <n v="65864.7"/>
    <n v="1557"/>
    <n v="49.689338824668368"/>
    <n v="1606.6893388246683"/>
    <n v="0"/>
    <n v="0"/>
    <n v="0"/>
    <n v="1606.6893388246683"/>
  </r>
  <r>
    <x v="3"/>
    <d v="2021-05-05T00:00:00"/>
    <d v="2021-05-24T00:00:00"/>
    <x v="14"/>
    <n v="9"/>
    <n v="32"/>
    <n v="2195.4899999999998"/>
    <n v="2247.39"/>
    <n v="71916.479999999996"/>
    <n v="70255.679999999993"/>
    <n v="1660.8000000000029"/>
    <n v="53.001961412979597"/>
    <n v="1713.8019614129826"/>
    <n v="0"/>
    <n v="0"/>
    <n v="0"/>
    <n v="1713.8019614129826"/>
  </r>
  <r>
    <x v="4"/>
    <d v="2021-06-03T00:00:00"/>
    <d v="2021-06-24T00:00:00"/>
    <x v="14"/>
    <n v="9"/>
    <n v="40"/>
    <n v="2195.4899999999998"/>
    <n v="2247.39"/>
    <n v="89895.599999999991"/>
    <n v="87819.599999999991"/>
    <n v="2076"/>
    <n v="66.252451766224496"/>
    <n v="2142.2524517662246"/>
    <n v="0"/>
    <n v="0"/>
    <n v="0"/>
    <n v="2142.2524517662246"/>
  </r>
  <r>
    <x v="5"/>
    <d v="2021-07-06T00:00:00"/>
    <d v="2021-07-24T00:00:00"/>
    <x v="14"/>
    <n v="9"/>
    <n v="46"/>
    <n v="2195.4899999999998"/>
    <n v="2247.39"/>
    <n v="103379.93999999999"/>
    <n v="100992.54"/>
    <n v="2387.3999999999942"/>
    <n v="76.190319531158167"/>
    <n v="2463.5903195311525"/>
    <n v="0"/>
    <n v="0"/>
    <n v="0"/>
    <n v="2463.5903195311525"/>
  </r>
  <r>
    <x v="6"/>
    <d v="2021-08-04T00:00:00"/>
    <d v="2021-08-24T00:00:00"/>
    <x v="14"/>
    <n v="9"/>
    <n v="48"/>
    <n v="2195.4899999999998"/>
    <n v="2247.39"/>
    <n v="107874.72"/>
    <n v="105383.51999999999"/>
    <n v="2491.2000000000116"/>
    <n v="79.502942119469395"/>
    <n v="2570.7029421194811"/>
    <n v="0"/>
    <n v="0"/>
    <n v="0"/>
    <n v="2570.7029421194811"/>
  </r>
  <r>
    <x v="7"/>
    <d v="2021-09-03T00:00:00"/>
    <d v="2021-09-24T00:00:00"/>
    <x v="14"/>
    <n v="9"/>
    <n v="50"/>
    <n v="2195.4899999999998"/>
    <n v="2247.39"/>
    <n v="112369.5"/>
    <n v="109774.49999999999"/>
    <n v="2595.0000000000146"/>
    <n v="82.815564707780624"/>
    <n v="2677.8155647077951"/>
    <n v="0"/>
    <n v="0"/>
    <n v="0"/>
    <n v="2677.8155647077951"/>
  </r>
  <r>
    <x v="8"/>
    <d v="2021-10-05T00:00:00"/>
    <d v="2021-10-25T00:00:00"/>
    <x v="14"/>
    <n v="9"/>
    <n v="52"/>
    <n v="2195.4899999999998"/>
    <n v="2247.39"/>
    <n v="116864.28"/>
    <n v="114165.47999999998"/>
    <n v="2698.8000000000175"/>
    <n v="86.128187296091852"/>
    <n v="2784.9281872961092"/>
    <n v="0"/>
    <n v="0"/>
    <n v="0"/>
    <n v="2784.9281872961092"/>
  </r>
  <r>
    <x v="9"/>
    <d v="2021-11-03T00:00:00"/>
    <d v="2021-11-24T00:00:00"/>
    <x v="14"/>
    <n v="9"/>
    <n v="40"/>
    <n v="2195.4899999999998"/>
    <n v="2247.39"/>
    <n v="89895.599999999991"/>
    <n v="87819.599999999991"/>
    <n v="2076"/>
    <n v="66.252451766224496"/>
    <n v="2142.2524517662246"/>
    <n v="0"/>
    <n v="0"/>
    <n v="0"/>
    <n v="2142.2524517662246"/>
  </r>
  <r>
    <x v="10"/>
    <d v="2021-12-03T00:00:00"/>
    <d v="2021-12-27T00:00:00"/>
    <x v="14"/>
    <n v="9"/>
    <n v="32"/>
    <n v="2195.4899999999998"/>
    <n v="2247.39"/>
    <n v="71916.479999999996"/>
    <n v="70255.679999999993"/>
    <n v="1660.8000000000029"/>
    <n v="53.001961412979597"/>
    <n v="1713.8019614129826"/>
    <n v="0"/>
    <n v="0"/>
    <n v="0"/>
    <n v="1713.8019614129826"/>
  </r>
  <r>
    <x v="11"/>
    <d v="2022-01-05T00:00:00"/>
    <d v="2022-01-24T00:00:00"/>
    <x v="14"/>
    <n v="9"/>
    <n v="35"/>
    <n v="2195.4899999999998"/>
    <n v="2247.39"/>
    <n v="78658.649999999994"/>
    <n v="76842.149999999994"/>
    <n v="1816.5"/>
    <n v="57.970895295446439"/>
    <n v="1874.4708952954466"/>
    <n v="0"/>
    <n v="0"/>
    <n v="0"/>
    <n v="1874.4708952954466"/>
  </r>
  <r>
    <x v="0"/>
    <d v="2021-02-03T00:00:00"/>
    <d v="2021-02-24T00:00:00"/>
    <x v="15"/>
    <n v="9"/>
    <n v="94"/>
    <n v="2195.4899999999998"/>
    <n v="2247.39"/>
    <n v="211254.65999999997"/>
    <n v="206376.05999999997"/>
    <n v="4878.6000000000058"/>
    <n v="155.69326165062756"/>
    <n v="5034.2932616506332"/>
    <n v="0"/>
    <n v="0"/>
    <n v="0"/>
    <n v="5034.2932616506332"/>
  </r>
  <r>
    <x v="1"/>
    <d v="2021-03-03T00:00:00"/>
    <d v="2021-03-24T00:00:00"/>
    <x v="15"/>
    <n v="9"/>
    <n v="100"/>
    <n v="2195.4899999999998"/>
    <n v="2247.39"/>
    <n v="224739"/>
    <n v="219548.99999999997"/>
    <n v="5190.0000000000291"/>
    <n v="165.63112941556125"/>
    <n v="5355.6311294155903"/>
    <n v="0"/>
    <n v="0"/>
    <n v="0"/>
    <n v="5355.6311294155903"/>
  </r>
  <r>
    <x v="2"/>
    <d v="2021-04-05T00:00:00"/>
    <d v="2021-04-26T00:00:00"/>
    <x v="15"/>
    <n v="9"/>
    <n v="101"/>
    <n v="2195.4899999999998"/>
    <n v="2247.39"/>
    <n v="226986.38999999998"/>
    <n v="221744.49"/>
    <n v="5241.8999999999942"/>
    <n v="167.28744070971686"/>
    <n v="5409.1874407097112"/>
    <n v="0"/>
    <n v="0"/>
    <n v="0"/>
    <n v="5409.1874407097112"/>
  </r>
  <r>
    <x v="3"/>
    <d v="2021-05-05T00:00:00"/>
    <d v="2021-05-24T00:00:00"/>
    <x v="15"/>
    <n v="9"/>
    <n v="98"/>
    <n v="2195.4899999999998"/>
    <n v="2247.39"/>
    <n v="220244.22"/>
    <n v="215158.02"/>
    <n v="5086.2000000000116"/>
    <n v="162.31850682725002"/>
    <n v="5248.5185068272613"/>
    <n v="0"/>
    <n v="0"/>
    <n v="0"/>
    <n v="5248.5185068272613"/>
  </r>
  <r>
    <x v="4"/>
    <d v="2021-06-03T00:00:00"/>
    <d v="2021-06-24T00:00:00"/>
    <x v="15"/>
    <n v="9"/>
    <n v="99"/>
    <n v="2195.4899999999998"/>
    <n v="2247.39"/>
    <n v="222491.61"/>
    <n v="217353.50999999998"/>
    <n v="5138.1000000000058"/>
    <n v="163.97481812140563"/>
    <n v="5302.0748181214112"/>
    <n v="0"/>
    <n v="0"/>
    <n v="0"/>
    <n v="5302.0748181214112"/>
  </r>
  <r>
    <x v="5"/>
    <d v="2021-07-06T00:00:00"/>
    <d v="2021-07-24T00:00:00"/>
    <x v="15"/>
    <n v="9"/>
    <n v="113"/>
    <n v="2195.4899999999998"/>
    <n v="2247.39"/>
    <n v="253955.06999999998"/>
    <n v="248090.36999999997"/>
    <n v="5864.7000000000116"/>
    <n v="187.1631762395842"/>
    <n v="6051.8631762395962"/>
    <n v="0"/>
    <n v="0"/>
    <n v="0"/>
    <n v="6051.8631762395962"/>
  </r>
  <r>
    <x v="6"/>
    <d v="2021-08-04T00:00:00"/>
    <d v="2021-08-24T00:00:00"/>
    <x v="15"/>
    <n v="9"/>
    <n v="116"/>
    <n v="2195.4899999999998"/>
    <n v="2247.39"/>
    <n v="260697.24"/>
    <n v="254676.83999999997"/>
    <n v="6020.4000000000233"/>
    <n v="192.13211012205105"/>
    <n v="6212.5321101220743"/>
    <n v="0"/>
    <n v="0"/>
    <n v="0"/>
    <n v="6212.5321101220743"/>
  </r>
  <r>
    <x v="7"/>
    <d v="2021-09-03T00:00:00"/>
    <d v="2021-09-24T00:00:00"/>
    <x v="15"/>
    <n v="9"/>
    <n v="116"/>
    <n v="2195.4899999999998"/>
    <n v="2247.39"/>
    <n v="260697.24"/>
    <n v="254676.83999999997"/>
    <n v="6020.4000000000233"/>
    <n v="192.13211012205105"/>
    <n v="6212.5321101220743"/>
    <n v="0"/>
    <n v="0"/>
    <n v="0"/>
    <n v="6212.5321101220743"/>
  </r>
  <r>
    <x v="8"/>
    <d v="2021-10-05T00:00:00"/>
    <d v="2021-10-25T00:00:00"/>
    <x v="15"/>
    <n v="9"/>
    <n v="116"/>
    <n v="2195.4899999999998"/>
    <n v="2247.39"/>
    <n v="260697.24"/>
    <n v="254676.83999999997"/>
    <n v="6020.4000000000233"/>
    <n v="192.13211012205105"/>
    <n v="6212.5321101220743"/>
    <n v="0"/>
    <n v="0"/>
    <n v="0"/>
    <n v="6212.5321101220743"/>
  </r>
  <r>
    <x v="9"/>
    <d v="2021-11-03T00:00:00"/>
    <d v="2021-11-24T00:00:00"/>
    <x v="15"/>
    <n v="9"/>
    <n v="105"/>
    <n v="2195.4899999999998"/>
    <n v="2247.39"/>
    <n v="235975.94999999998"/>
    <n v="230526.44999999998"/>
    <n v="5449.5"/>
    <n v="173.91268588633932"/>
    <n v="5623.4126858863392"/>
    <n v="0"/>
    <n v="0"/>
    <n v="0"/>
    <n v="5623.4126858863392"/>
  </r>
  <r>
    <x v="10"/>
    <d v="2021-12-03T00:00:00"/>
    <d v="2021-12-27T00:00:00"/>
    <x v="15"/>
    <n v="9"/>
    <n v="100"/>
    <n v="2195.4899999999998"/>
    <n v="2247.39"/>
    <n v="224739"/>
    <n v="219548.99999999997"/>
    <n v="5190.0000000000291"/>
    <n v="165.63112941556125"/>
    <n v="5355.6311294155903"/>
    <n v="0"/>
    <n v="0"/>
    <n v="0"/>
    <n v="5355.6311294155903"/>
  </r>
  <r>
    <x v="11"/>
    <d v="2022-01-05T00:00:00"/>
    <d v="2022-01-24T00:00:00"/>
    <x v="15"/>
    <n v="9"/>
    <n v="103"/>
    <n v="2195.4899999999998"/>
    <n v="2247.39"/>
    <n v="231481.16999999998"/>
    <n v="226135.46999999997"/>
    <n v="5345.7000000000116"/>
    <n v="170.60006329802809"/>
    <n v="5516.3000632980402"/>
    <n v="0"/>
    <n v="0"/>
    <n v="0"/>
    <n v="5516.30006329804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15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activeCell="D7" sqref="D7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63</v>
      </c>
    </row>
    <row r="3" spans="1:2" x14ac:dyDescent="0.2">
      <c r="A3" s="2">
        <v>1</v>
      </c>
      <c r="B3" s="3" t="s">
        <v>65</v>
      </c>
    </row>
    <row r="4" spans="1:2" x14ac:dyDescent="0.2">
      <c r="A4" s="2">
        <v>2</v>
      </c>
      <c r="B4" s="3" t="s">
        <v>64</v>
      </c>
    </row>
    <row r="5" spans="1:2" x14ac:dyDescent="0.2">
      <c r="A5" s="2">
        <v>3</v>
      </c>
      <c r="B5" s="3" t="s">
        <v>66</v>
      </c>
    </row>
    <row r="6" spans="1:2" x14ac:dyDescent="0.2">
      <c r="A6" s="2">
        <v>4</v>
      </c>
      <c r="B6" s="4" t="s">
        <v>80</v>
      </c>
    </row>
    <row r="7" spans="1:2" x14ac:dyDescent="0.2">
      <c r="A7" s="2">
        <v>5</v>
      </c>
      <c r="B7" s="3" t="s">
        <v>67</v>
      </c>
    </row>
    <row r="8" spans="1:2" x14ac:dyDescent="0.2">
      <c r="A8" s="2">
        <v>6</v>
      </c>
      <c r="B8" s="3" t="s">
        <v>68</v>
      </c>
    </row>
    <row r="9" spans="1:2" x14ac:dyDescent="0.2">
      <c r="A9" s="2">
        <v>7</v>
      </c>
      <c r="B9" s="5" t="s">
        <v>69</v>
      </c>
    </row>
    <row r="10" spans="1:2" x14ac:dyDescent="0.2">
      <c r="A10" s="2">
        <v>8</v>
      </c>
      <c r="B10" s="3" t="s">
        <v>72</v>
      </c>
    </row>
    <row r="11" spans="1:2" x14ac:dyDescent="0.2">
      <c r="A11" s="2"/>
      <c r="B11" s="3" t="s">
        <v>73</v>
      </c>
    </row>
    <row r="12" spans="1:2" x14ac:dyDescent="0.2">
      <c r="A12" s="2"/>
      <c r="B12" s="5" t="s">
        <v>74</v>
      </c>
    </row>
    <row r="13" spans="1:2" x14ac:dyDescent="0.2">
      <c r="A13" s="2"/>
      <c r="B13" s="5" t="s">
        <v>75</v>
      </c>
    </row>
    <row r="14" spans="1:2" x14ac:dyDescent="0.2">
      <c r="A14" s="2">
        <v>9</v>
      </c>
      <c r="B14" s="3" t="s">
        <v>76</v>
      </c>
    </row>
    <row r="15" spans="1:2" x14ac:dyDescent="0.2">
      <c r="A15" s="2">
        <v>10</v>
      </c>
      <c r="B15" s="3" t="s">
        <v>78</v>
      </c>
    </row>
    <row r="16" spans="1:2" x14ac:dyDescent="0.2">
      <c r="A16" s="2">
        <v>11</v>
      </c>
      <c r="B16" s="3" t="s">
        <v>79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0"/>
  <sheetViews>
    <sheetView tabSelected="1" zoomScale="85" zoomScaleNormal="85" zoomScaleSheetLayoutView="100" workbookViewId="0">
      <selection activeCell="A2" sqref="A2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52" t="str">
        <f>+Transactions!B1</f>
        <v>AEPTCo Formula Rate -- FERC Docket ER18-195</v>
      </c>
      <c r="D1" s="252"/>
      <c r="E1" s="252"/>
      <c r="F1" s="252"/>
      <c r="G1" s="252"/>
      <c r="H1" s="252"/>
      <c r="I1" s="252"/>
      <c r="L1" s="6">
        <v>2021</v>
      </c>
    </row>
    <row r="2" spans="2:19" x14ac:dyDescent="0.2">
      <c r="C2" s="252" t="s">
        <v>36</v>
      </c>
      <c r="D2" s="252"/>
      <c r="E2" s="252"/>
      <c r="F2" s="252"/>
      <c r="G2" s="252"/>
      <c r="H2" s="252"/>
      <c r="I2" s="252"/>
    </row>
    <row r="3" spans="2:19" x14ac:dyDescent="0.2">
      <c r="C3" s="252" t="str">
        <f>"for period 01/01/"&amp;F8&amp;" - 12/31/"&amp;F8</f>
        <v>for period 01/01/2021 - 12/31/2021</v>
      </c>
      <c r="D3" s="252"/>
      <c r="E3" s="252"/>
      <c r="F3" s="252"/>
      <c r="G3" s="252"/>
      <c r="H3" s="252"/>
      <c r="I3" s="252"/>
    </row>
    <row r="4" spans="2:19" x14ac:dyDescent="0.2">
      <c r="C4" s="252" t="s">
        <v>94</v>
      </c>
      <c r="D4" s="252"/>
      <c r="E4" s="252"/>
      <c r="F4" s="252"/>
      <c r="G4" s="252"/>
      <c r="H4" s="252"/>
      <c r="I4" s="252"/>
    </row>
    <row r="5" spans="2:19" x14ac:dyDescent="0.2">
      <c r="C5" s="7" t="str">
        <f>"Prepared:  May 24_, "&amp;L1+1&amp;""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93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"&amp;F8+1&amp;" Update of May "&amp;F8+1&amp;")"</f>
        <v>(per 2022 Update of May 2022)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215714648.13692978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42</v>
      </c>
      <c r="E12" s="30"/>
      <c r="F12" s="31">
        <f>+Transactions!J2</f>
        <v>220943583.22074926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2195.4899999999998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41</v>
      </c>
      <c r="E14" s="44"/>
      <c r="F14" s="45">
        <f>+Transactions!J3</f>
        <v>2247.39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9" t="s">
        <v>50</v>
      </c>
      <c r="D20" s="60" t="str">
        <f>"Actual Charge
("&amp;F8&amp;" True-Up)"</f>
        <v>Actual Charge
(2021 True-Up)</v>
      </c>
      <c r="E20" s="61" t="str">
        <f>"Invoiced for
CY"&amp;F8&amp;" Transmission Service"</f>
        <v>Invoiced for
CY2021 Transmission Service</v>
      </c>
      <c r="F20" s="60" t="s">
        <v>101</v>
      </c>
      <c r="G20" s="62" t="s">
        <v>102</v>
      </c>
      <c r="H20" s="62" t="s">
        <v>99</v>
      </c>
      <c r="I20" s="60" t="s">
        <v>103</v>
      </c>
      <c r="J20" s="63" t="s">
        <v>97</v>
      </c>
      <c r="K20" s="64" t="s">
        <v>104</v>
      </c>
      <c r="N20" s="52"/>
      <c r="O20" s="53"/>
      <c r="P20" s="53"/>
      <c r="Q20" s="53"/>
      <c r="R20" s="53"/>
      <c r="S20" s="53"/>
    </row>
    <row r="21" spans="2:19" x14ac:dyDescent="0.2">
      <c r="B21" s="65"/>
      <c r="C21" s="66" t="s">
        <v>14</v>
      </c>
      <c r="D21" s="67">
        <f>GETPIVOTDATA("Sum of "&amp;T(Transactions!$J$19),Pivot!$A$3,"Customer",C21)</f>
        <v>20377085.130000003</v>
      </c>
      <c r="E21" s="67">
        <f>GETPIVOTDATA("Sum of "&amp;T(Transactions!$K$19),Pivot!$A$3,"Customer",C21)</f>
        <v>19906507.830000002</v>
      </c>
      <c r="F21" s="67">
        <f>D21-E21</f>
        <v>470577.30000000075</v>
      </c>
      <c r="G21" s="53">
        <f>+GETPIVOTDATA("Sum of "&amp;T(Transactions!$M$19),Pivot!$A$3,"Customer","AECC")</f>
        <v>15017.774504108937</v>
      </c>
      <c r="H21" s="53">
        <f>GETPIVOTDATA("Sum of "&amp;T(Transactions!$Q$19),Pivot!$A$3,"Customer","AECC")</f>
        <v>0</v>
      </c>
      <c r="I21" s="68">
        <f>F21+G21-H21</f>
        <v>485595.07450410968</v>
      </c>
      <c r="J21" s="69">
        <v>0</v>
      </c>
      <c r="K21" s="70">
        <f>I21+J21</f>
        <v>485595.07450410968</v>
      </c>
      <c r="L21" s="65"/>
      <c r="N21" s="52"/>
      <c r="O21" s="53"/>
      <c r="P21" s="53"/>
      <c r="Q21" s="53"/>
      <c r="R21" s="53"/>
      <c r="S21" s="53"/>
    </row>
    <row r="22" spans="2:19" x14ac:dyDescent="0.2">
      <c r="B22" s="65"/>
      <c r="C22" s="71" t="s">
        <v>83</v>
      </c>
      <c r="D22" s="67">
        <f>GETPIVOTDATA("Sum of "&amp;T(Transactions!$J$19),Pivot!$A$3,"Customer",C22)</f>
        <v>1067510.2499999998</v>
      </c>
      <c r="E22" s="67">
        <f>GETPIVOTDATA("Sum of "&amp;T(Transactions!$K$19),Pivot!$A$3,"Customer",C22)</f>
        <v>1042857.7499999998</v>
      </c>
      <c r="F22" s="67">
        <f>D22-E22</f>
        <v>24652.5</v>
      </c>
      <c r="G22" s="53">
        <f>+GETPIVOTDATA("Sum of "&amp;T(Transactions!$M$19),Pivot!$A$3,"Customer","AECI")</f>
        <v>786.747864723916</v>
      </c>
      <c r="H22" s="53">
        <f>GETPIVOTDATA("Sum of "&amp;T(Transactions!$Q$19),Pivot!$A$3,"Customer",C22)</f>
        <v>0</v>
      </c>
      <c r="I22" s="68">
        <f t="shared" ref="I22:I33" si="0">F22+G22-H22</f>
        <v>25439.247864723915</v>
      </c>
      <c r="J22" s="69">
        <v>0</v>
      </c>
      <c r="K22" s="70">
        <f t="shared" ref="K22:K39" si="1">I22+J22</f>
        <v>25439.247864723915</v>
      </c>
      <c r="L22" s="65"/>
      <c r="N22" s="52"/>
      <c r="O22" s="53"/>
      <c r="P22" s="53"/>
      <c r="Q22" s="53"/>
      <c r="R22" s="53"/>
      <c r="S22" s="53"/>
    </row>
    <row r="23" spans="2:19" x14ac:dyDescent="0.2">
      <c r="B23" s="65"/>
      <c r="C23" s="71" t="s">
        <v>54</v>
      </c>
      <c r="D23" s="67">
        <f>GETPIVOTDATA("Sum of "&amp;T(Transactions!$J$19),Pivot!$A$3,"Customer",C23)</f>
        <v>3209272.92</v>
      </c>
      <c r="E23" s="67">
        <f>GETPIVOTDATA("Sum of "&amp;T(Transactions!$K$19),Pivot!$A$3,"Customer",C23)</f>
        <v>3135159.7199999993</v>
      </c>
      <c r="F23" s="67">
        <f t="shared" ref="F23:F35" si="2">D23-E23</f>
        <v>74113.200000000652</v>
      </c>
      <c r="G23" s="53">
        <f>+GETPIVOTDATA("Sum of "&amp;T(Transactions!$M$19),Pivot!$A$3,"Customer","Bentonville, AR")</f>
        <v>2365.2125280542141</v>
      </c>
      <c r="H23" s="53">
        <f>GETPIVOTDATA("Sum of "&amp;T(Transactions!$Q$19),Pivot!$A$3,"Customer",C23)</f>
        <v>0</v>
      </c>
      <c r="I23" s="68">
        <f t="shared" si="0"/>
        <v>76478.412528054861</v>
      </c>
      <c r="J23" s="69">
        <v>0</v>
      </c>
      <c r="K23" s="70">
        <f t="shared" si="1"/>
        <v>76478.412528054861</v>
      </c>
      <c r="L23" s="65"/>
      <c r="N23" s="52"/>
      <c r="O23" s="53"/>
      <c r="P23" s="53"/>
      <c r="Q23" s="53"/>
      <c r="R23" s="53"/>
      <c r="S23" s="53"/>
    </row>
    <row r="24" spans="2:19" x14ac:dyDescent="0.2">
      <c r="B24" s="65"/>
      <c r="C24" s="66" t="s">
        <v>17</v>
      </c>
      <c r="D24" s="67">
        <f>GETPIVOTDATA("Sum of "&amp;T(Transactions!$J$19),Pivot!$A$3,"Customer",C24)</f>
        <v>2833958.79</v>
      </c>
      <c r="E24" s="67">
        <f>GETPIVOTDATA("Sum of "&amp;T(Transactions!$K$19),Pivot!$A$3,"Customer",C24)</f>
        <v>2768512.8899999997</v>
      </c>
      <c r="F24" s="67">
        <f t="shared" si="2"/>
        <v>65445.900000000373</v>
      </c>
      <c r="G24" s="53">
        <f>+GETPIVOTDATA("Sum of "&amp;T(Transactions!$M$19),Pivot!$A$3,"Customer","Coffeyville, KS")</f>
        <v>2088.6085419302271</v>
      </c>
      <c r="H24" s="53">
        <f>GETPIVOTDATA("Sum of "&amp;T(Transactions!$Q$19),Pivot!$A$3,"Customer",C24)</f>
        <v>0</v>
      </c>
      <c r="I24" s="68">
        <f t="shared" si="0"/>
        <v>67534.508541930598</v>
      </c>
      <c r="J24" s="69">
        <v>0</v>
      </c>
      <c r="K24" s="70">
        <f t="shared" si="1"/>
        <v>67534.508541930598</v>
      </c>
      <c r="L24" s="65"/>
      <c r="N24" s="52"/>
      <c r="O24" s="53"/>
      <c r="P24" s="53"/>
      <c r="Q24" s="53"/>
      <c r="R24" s="53"/>
      <c r="S24" s="53"/>
    </row>
    <row r="25" spans="2:19" x14ac:dyDescent="0.2">
      <c r="B25" s="65"/>
      <c r="C25" s="71" t="s">
        <v>13</v>
      </c>
      <c r="D25" s="67">
        <f>GETPIVOTDATA("Sum of "&amp;T(Transactions!$J$19),Pivot!$A$3,"Customer",C25)</f>
        <v>22518847.799999997</v>
      </c>
      <c r="E25" s="67">
        <f>GETPIVOTDATA("Sum of "&amp;T(Transactions!$K$19),Pivot!$A$3,"Customer",C25)</f>
        <v>21998809.799999997</v>
      </c>
      <c r="F25" s="67">
        <f t="shared" si="2"/>
        <v>520038</v>
      </c>
      <c r="G25" s="53">
        <f>+GETPIVOTDATA("Sum of "&amp;T(Transactions!$M$19),Pivot!$A$3,"Customer","ETEC")</f>
        <v>16596.239167439235</v>
      </c>
      <c r="H25" s="53">
        <f>GETPIVOTDATA("Sum of "&amp;T(Transactions!$Q$19),Pivot!$A$3,"Customer",C25)</f>
        <v>0</v>
      </c>
      <c r="I25" s="68">
        <f t="shared" si="0"/>
        <v>536634.23916743929</v>
      </c>
      <c r="J25" s="69">
        <v>0</v>
      </c>
      <c r="K25" s="70">
        <f t="shared" si="1"/>
        <v>536634.23916743929</v>
      </c>
      <c r="L25" s="65"/>
      <c r="N25" s="54"/>
      <c r="O25" s="53"/>
      <c r="P25" s="53"/>
      <c r="Q25" s="53"/>
      <c r="R25" s="53"/>
      <c r="S25" s="53"/>
    </row>
    <row r="26" spans="2:19" x14ac:dyDescent="0.2">
      <c r="B26" s="65"/>
      <c r="C26" s="66" t="s">
        <v>15</v>
      </c>
      <c r="D26" s="67">
        <f>GETPIVOTDATA("Sum of "&amp;T(Transactions!$J$19),Pivot!$A$3,"Customer",C26)</f>
        <v>244965.51</v>
      </c>
      <c r="E26" s="67">
        <f>GETPIVOTDATA("Sum of "&amp;T(Transactions!$K$19),Pivot!$A$3,"Customer",C26)</f>
        <v>239308.40999999997</v>
      </c>
      <c r="F26" s="67">
        <f t="shared" si="2"/>
        <v>5657.1000000000349</v>
      </c>
      <c r="G26" s="53">
        <f>+GETPIVOTDATA("Sum of "&amp;T(Transactions!$M$19),Pivot!$A$3,"Customer","Greenbelt")</f>
        <v>180.53793106296177</v>
      </c>
      <c r="H26" s="53">
        <f>GETPIVOTDATA("Sum of "&amp;T(Transactions!$Q$19),Pivot!$A$3,"Customer",C26)</f>
        <v>0</v>
      </c>
      <c r="I26" s="68">
        <f t="shared" si="0"/>
        <v>5837.6379310629964</v>
      </c>
      <c r="J26" s="69">
        <v>0</v>
      </c>
      <c r="K26" s="70">
        <f t="shared" si="1"/>
        <v>5837.6379310629964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">
      <c r="B27" s="65"/>
      <c r="C27" s="66" t="s">
        <v>57</v>
      </c>
      <c r="D27" s="67">
        <f>GETPIVOTDATA("Sum of "&amp;T(Transactions!$J$19),Pivot!$A$3,"Customer",C27)</f>
        <v>1063015.47</v>
      </c>
      <c r="E27" s="67">
        <f>GETPIVOTDATA("Sum of "&amp;T(Transactions!$K$19),Pivot!$A$3,"Customer",C27)</f>
        <v>1038466.7699999999</v>
      </c>
      <c r="F27" s="67">
        <f t="shared" si="2"/>
        <v>24548.70000000007</v>
      </c>
      <c r="G27" s="53">
        <f>+GETPIVOTDATA("Sum of "&amp;T(Transactions!$M$19),Pivot!$A$3,"Customer","Hope, AR")</f>
        <v>783.43524213560465</v>
      </c>
      <c r="H27" s="53">
        <f>GETPIVOTDATA("Sum of "&amp;T(Transactions!$Q$19),Pivot!$A$3,"Customer",C27)</f>
        <v>0</v>
      </c>
      <c r="I27" s="68">
        <f t="shared" si="0"/>
        <v>25332.135242135675</v>
      </c>
      <c r="J27" s="69">
        <v>0</v>
      </c>
      <c r="K27" s="70">
        <f t="shared" si="1"/>
        <v>25332.135242135675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">
      <c r="B28" s="65"/>
      <c r="C28" s="66" t="s">
        <v>16</v>
      </c>
      <c r="D28" s="67">
        <f>GETPIVOTDATA("Sum of "&amp;T(Transactions!$J$19),Pivot!$A$3,"Customer",C28)</f>
        <v>103379.93999999999</v>
      </c>
      <c r="E28" s="67">
        <f>GETPIVOTDATA("Sum of "&amp;T(Transactions!$K$19),Pivot!$A$3,"Customer",C28)</f>
        <v>100992.53999999996</v>
      </c>
      <c r="F28" s="67">
        <f t="shared" si="2"/>
        <v>2387.4000000000233</v>
      </c>
      <c r="G28" s="53">
        <f>+GETPIVOTDATA("Sum of "&amp;T(Transactions!$M$19),Pivot!$A$3,"Customer","Lighthouse")</f>
        <v>76.190319531158167</v>
      </c>
      <c r="H28" s="53">
        <f>GETPIVOTDATA("Sum of "&amp;T(Transactions!$Q$19),Pivot!$A$3,"Customer",C28)</f>
        <v>0</v>
      </c>
      <c r="I28" s="68">
        <f t="shared" si="0"/>
        <v>2463.5903195311816</v>
      </c>
      <c r="J28" s="69">
        <v>0</v>
      </c>
      <c r="K28" s="70">
        <f t="shared" si="1"/>
        <v>2463.5903195311816</v>
      </c>
      <c r="L28" s="65"/>
      <c r="N28" s="52"/>
      <c r="O28" s="53"/>
      <c r="P28" s="53"/>
      <c r="Q28" s="53"/>
      <c r="R28" s="53"/>
      <c r="S28" s="53"/>
    </row>
    <row r="29" spans="2:19" x14ac:dyDescent="0.2">
      <c r="B29" s="65"/>
      <c r="C29" s="71" t="s">
        <v>56</v>
      </c>
      <c r="D29" s="67">
        <f>GETPIVOTDATA("Sum of "&amp;T(Transactions!$J$19),Pivot!$A$3,"Customer",C29)</f>
        <v>689948.73</v>
      </c>
      <c r="E29" s="67">
        <f>GETPIVOTDATA("Sum of "&amp;T(Transactions!$K$19),Pivot!$A$3,"Customer",C29)</f>
        <v>674015.42999999993</v>
      </c>
      <c r="F29" s="67">
        <f t="shared" si="2"/>
        <v>15933.300000000047</v>
      </c>
      <c r="G29" s="53">
        <f>+GETPIVOTDATA("Sum of "&amp;T(Transactions!$M$19),Pivot!$A$3,"Customer","Minden, LA")</f>
        <v>508.48756730577293</v>
      </c>
      <c r="H29" s="53">
        <f>GETPIVOTDATA("Sum of "&amp;T(Transactions!$Q$19),Pivot!$A$3,"Customer",C29)</f>
        <v>0</v>
      </c>
      <c r="I29" s="68">
        <f t="shared" si="0"/>
        <v>16441.787567305819</v>
      </c>
      <c r="J29" s="69">
        <v>0</v>
      </c>
      <c r="K29" s="70">
        <f t="shared" si="1"/>
        <v>16441.787567305819</v>
      </c>
      <c r="L29" s="65"/>
      <c r="N29" s="52"/>
      <c r="O29" s="53"/>
      <c r="P29" s="53"/>
      <c r="Q29" s="53"/>
      <c r="R29" s="53"/>
      <c r="S29" s="53"/>
    </row>
    <row r="30" spans="2:19" x14ac:dyDescent="0.2">
      <c r="B30" s="65"/>
      <c r="C30" s="71" t="s">
        <v>19</v>
      </c>
      <c r="D30" s="67">
        <f>GETPIVOTDATA("Sum of "&amp;T(Transactions!$J$19),Pivot!$A$3,"Customer",C30)</f>
        <v>1191116.6999999997</v>
      </c>
      <c r="E30" s="67">
        <f>GETPIVOTDATA("Sum of "&amp;T(Transactions!$K$19),Pivot!$A$3,"Customer",C30)</f>
        <v>1163609.7000000002</v>
      </c>
      <c r="F30" s="67">
        <f t="shared" si="2"/>
        <v>27506.999999999534</v>
      </c>
      <c r="G30" s="53">
        <f>+GETPIVOTDATA("Sum of "&amp;T(Transactions!$M$19),Pivot!$A$3,"Customer","OG&amp;E")</f>
        <v>877.84498590247449</v>
      </c>
      <c r="H30" s="53">
        <f>GETPIVOTDATA("Sum of "&amp;T(Transactions!$Q$19),Pivot!$A$3,"Customer",C30)</f>
        <v>0</v>
      </c>
      <c r="I30" s="68">
        <f t="shared" si="0"/>
        <v>28384.844985902007</v>
      </c>
      <c r="J30" s="69">
        <v>0</v>
      </c>
      <c r="K30" s="70">
        <f t="shared" si="1"/>
        <v>28384.844985902007</v>
      </c>
      <c r="L30" s="65"/>
    </row>
    <row r="31" spans="2:19" x14ac:dyDescent="0.2">
      <c r="B31" s="65"/>
      <c r="C31" s="66" t="s">
        <v>8</v>
      </c>
      <c r="D31" s="67">
        <f>GETPIVOTDATA("Sum of "&amp;T(Transactions!$J$19),Pivot!$A$3,"Customer",C31)</f>
        <v>2800247.9400000004</v>
      </c>
      <c r="E31" s="67">
        <f>GETPIVOTDATA("Sum of "&amp;T(Transactions!$K$19),Pivot!$A$3,"Customer",C31)</f>
        <v>2735580.5399999996</v>
      </c>
      <c r="F31" s="67">
        <f t="shared" si="2"/>
        <v>64667.400000000838</v>
      </c>
      <c r="G31" s="53">
        <f>+GETPIVOTDATA("Sum of "&amp;T(Transactions!$M$19),Pivot!$A$3,"Customer","OMPA")</f>
        <v>2063.7638725178931</v>
      </c>
      <c r="H31" s="53">
        <f>GETPIVOTDATA("Sum of "&amp;T(Transactions!$Q$19),Pivot!$A$3,"Customer",C31)</f>
        <v>0</v>
      </c>
      <c r="I31" s="68">
        <f t="shared" si="0"/>
        <v>66731.163872518737</v>
      </c>
      <c r="J31" s="69">
        <v>0</v>
      </c>
      <c r="K31" s="70">
        <f t="shared" si="1"/>
        <v>66731.163872518737</v>
      </c>
      <c r="L31" s="65"/>
    </row>
    <row r="32" spans="2:19" x14ac:dyDescent="0.2">
      <c r="B32" s="65"/>
      <c r="C32" s="66" t="s">
        <v>55</v>
      </c>
      <c r="D32" s="67">
        <f>GETPIVOTDATA("Sum of "&amp;T(Transactions!$J$19),Pivot!$A$3,"Customer",C32)</f>
        <v>285418.52999999997</v>
      </c>
      <c r="E32" s="67">
        <f>GETPIVOTDATA("Sum of "&amp;T(Transactions!$K$19),Pivot!$A$3,"Customer",C32)</f>
        <v>278827.23</v>
      </c>
      <c r="F32" s="67">
        <f t="shared" si="2"/>
        <v>6591.2999999999884</v>
      </c>
      <c r="G32" s="53">
        <f>+GETPIVOTDATA("Sum of "&amp;T(Transactions!$M$19),Pivot!$A$3,"Customer","Prescott, AR")</f>
        <v>210.35153435776274</v>
      </c>
      <c r="H32" s="53">
        <f>GETPIVOTDATA("Sum of "&amp;T(Transactions!$Q$19),Pivot!$A$3,"Customer",C32)</f>
        <v>0</v>
      </c>
      <c r="I32" s="68">
        <f t="shared" si="0"/>
        <v>6801.6515343577512</v>
      </c>
      <c r="J32" s="69">
        <v>0</v>
      </c>
      <c r="K32" s="70">
        <f t="shared" si="1"/>
        <v>6801.6515343577512</v>
      </c>
      <c r="L32" s="65"/>
    </row>
    <row r="33" spans="2:13" x14ac:dyDescent="0.2">
      <c r="B33" s="65"/>
      <c r="C33" s="73" t="s">
        <v>9</v>
      </c>
      <c r="D33" s="67">
        <f>GETPIVOTDATA("Sum of "&amp;T(Transactions!$J$19),Pivot!$A$3,"Customer",C33)</f>
        <v>1110210.6599999999</v>
      </c>
      <c r="E33" s="67">
        <f>GETPIVOTDATA("Sum of "&amp;T(Transactions!$K$19),Pivot!$A$3,"Customer",C33)</f>
        <v>1084572.06</v>
      </c>
      <c r="F33" s="67">
        <f t="shared" si="2"/>
        <v>25638.59999999986</v>
      </c>
      <c r="G33" s="53">
        <f>+GETPIVOTDATA("Sum of "&amp;T(Transactions!$M$19),Pivot!$A$3,"Customer","WFEC")</f>
        <v>818.21777931287249</v>
      </c>
      <c r="H33" s="53">
        <f>GETPIVOTDATA("Sum of "&amp;T(Transactions!$Q$19),Pivot!$A$3,"Customer",C33)</f>
        <v>0</v>
      </c>
      <c r="I33" s="68">
        <f t="shared" si="0"/>
        <v>26456.817779312732</v>
      </c>
      <c r="J33" s="69">
        <v>0</v>
      </c>
      <c r="K33" s="70">
        <f t="shared" si="1"/>
        <v>26456.817779312732</v>
      </c>
      <c r="L33" s="65"/>
    </row>
    <row r="34" spans="2:13" ht="24" x14ac:dyDescent="0.2">
      <c r="C34" s="74" t="s">
        <v>43</v>
      </c>
      <c r="D34" s="75">
        <f t="shared" ref="D34:J34" si="3">SUM(D21:D33)</f>
        <v>57494978.36999999</v>
      </c>
      <c r="E34" s="75">
        <f t="shared" si="3"/>
        <v>56167220.669999994</v>
      </c>
      <c r="F34" s="75">
        <f t="shared" si="3"/>
        <v>1327757.7000000023</v>
      </c>
      <c r="G34" s="76">
        <f t="shared" si="3"/>
        <v>42373.411838383036</v>
      </c>
      <c r="H34" s="76">
        <f t="shared" si="3"/>
        <v>0</v>
      </c>
      <c r="I34" s="77">
        <f t="shared" si="3"/>
        <v>1370131.1118383857</v>
      </c>
      <c r="J34" s="78">
        <f t="shared" si="3"/>
        <v>0</v>
      </c>
      <c r="K34" s="79">
        <f t="shared" si="1"/>
        <v>1370131.1118383857</v>
      </c>
    </row>
    <row r="35" spans="2:13" x14ac:dyDescent="0.2">
      <c r="C35" s="80" t="s">
        <v>21</v>
      </c>
      <c r="D35" s="67">
        <f>GETPIVOTDATA("Sum of "&amp;T(Transactions!$J$19),Pivot!$A$3,"Customer",C35)</f>
        <v>81766790.36999999</v>
      </c>
      <c r="E35" s="67">
        <f>GETPIVOTDATA("Sum of "&amp;T(Transactions!$K$19),Pivot!$A$3,"Customer",C35)</f>
        <v>79878512.669999987</v>
      </c>
      <c r="F35" s="67">
        <f t="shared" si="2"/>
        <v>1888277.700000003</v>
      </c>
      <c r="G35" s="53">
        <f>+GETPIVOTDATA("Sum of "&amp;T(Transactions!$M$19),Pivot!$A$3,"Customer","PSO")</f>
        <v>60261.573815263648</v>
      </c>
      <c r="H35" s="53">
        <f>GETPIVOTDATA("Sum of "&amp;T(Transactions!$Q$19),Pivot!$A$3,"Customer",C35)</f>
        <v>0</v>
      </c>
      <c r="I35" s="68">
        <f>F35+G35-H35</f>
        <v>1948539.2738152666</v>
      </c>
      <c r="J35" s="69">
        <v>0</v>
      </c>
      <c r="K35" s="70">
        <f t="shared" si="1"/>
        <v>1948539.2738152666</v>
      </c>
    </row>
    <row r="36" spans="2:13" x14ac:dyDescent="0.2">
      <c r="C36" s="81" t="s">
        <v>22</v>
      </c>
      <c r="D36" s="67">
        <f>GETPIVOTDATA("Sum of "&amp;T(Transactions!$J$19),Pivot!$A$3,"Customer",C36)</f>
        <v>78215914.170000002</v>
      </c>
      <c r="E36" s="67">
        <f>GETPIVOTDATA("Sum of "&amp;T(Transactions!$K$19),Pivot!$A$3,"Customer",C36)</f>
        <v>76409638.469999999</v>
      </c>
      <c r="F36" s="67">
        <f>D36-E36</f>
        <v>1806275.700000003</v>
      </c>
      <c r="G36" s="53">
        <f>+GETPIVOTDATA("Sum of "&amp;T(Transactions!$M$19),Pivot!$A$3,"Customer","SWEPCO")</f>
        <v>57644.601970497773</v>
      </c>
      <c r="H36" s="53">
        <f>GETPIVOTDATA("Sum of "&amp;T(Transactions!$Q$19),Pivot!$A$3,"Customer",C36)</f>
        <v>0</v>
      </c>
      <c r="I36" s="68">
        <f>F36+G36-H36</f>
        <v>1863920.3019705007</v>
      </c>
      <c r="J36" s="69">
        <v>0</v>
      </c>
      <c r="K36" s="70">
        <f t="shared" si="1"/>
        <v>1863920.3019705007</v>
      </c>
    </row>
    <row r="37" spans="2:13" x14ac:dyDescent="0.2">
      <c r="C37" s="82" t="s">
        <v>81</v>
      </c>
      <c r="D37" s="67">
        <f>GETPIVOTDATA("Sum of "&amp;T(Transactions!$J$19),Pivot!$A$3,"Customer",C37)</f>
        <v>3465475.38</v>
      </c>
      <c r="E37" s="67">
        <f>GETPIVOTDATA("Sum of "&amp;T(Transactions!$K$19),Pivot!$A$3,"Customer",C37)</f>
        <v>3385445.58</v>
      </c>
      <c r="F37" s="67">
        <f>D37-E37</f>
        <v>80029.799999999814</v>
      </c>
      <c r="G37" s="53">
        <f>+GETPIVOTDATA("Sum of "&amp;T(Transactions!$M$19),Pivot!$A$3,"Customer","SWEPCO-Valley")</f>
        <v>2554.0320155879544</v>
      </c>
      <c r="H37" s="53">
        <f>GETPIVOTDATA("Sum of "&amp;T(Transactions!$Q$19),Pivot!$A$3,"Customer",C37)</f>
        <v>0</v>
      </c>
      <c r="I37" s="68">
        <f>F37+G37-H37</f>
        <v>82583.832015587774</v>
      </c>
      <c r="J37" s="69">
        <v>0</v>
      </c>
      <c r="K37" s="70">
        <f t="shared" si="1"/>
        <v>82583.832015587774</v>
      </c>
    </row>
    <row r="38" spans="2:13" ht="24" x14ac:dyDescent="0.2">
      <c r="C38" s="83" t="s">
        <v>51</v>
      </c>
      <c r="D38" s="84">
        <f t="shared" ref="D38:I38" si="4">SUM(D35:D37)</f>
        <v>163448179.91999999</v>
      </c>
      <c r="E38" s="84">
        <f t="shared" si="4"/>
        <v>159673596.72</v>
      </c>
      <c r="F38" s="84">
        <f t="shared" si="4"/>
        <v>3774583.2000000058</v>
      </c>
      <c r="G38" s="85">
        <f t="shared" si="4"/>
        <v>120460.20780134937</v>
      </c>
      <c r="H38" s="85">
        <f t="shared" si="4"/>
        <v>0</v>
      </c>
      <c r="I38" s="86">
        <f t="shared" si="4"/>
        <v>3895043.4078013552</v>
      </c>
      <c r="J38" s="87">
        <f>SUM(J35:J37)</f>
        <v>0</v>
      </c>
      <c r="K38" s="88">
        <f t="shared" si="1"/>
        <v>3895043.4078013552</v>
      </c>
      <c r="M38" s="89"/>
    </row>
    <row r="39" spans="2:13" ht="23.25" customHeight="1" thickBot="1" x14ac:dyDescent="0.25">
      <c r="C39" s="90" t="s">
        <v>44</v>
      </c>
      <c r="D39" s="91">
        <f t="shared" ref="D39:I39" si="5">SUM(D34,D38)</f>
        <v>220943158.28999996</v>
      </c>
      <c r="E39" s="92">
        <f t="shared" si="5"/>
        <v>215840817.38999999</v>
      </c>
      <c r="F39" s="91">
        <f t="shared" si="5"/>
        <v>5102340.9000000078</v>
      </c>
      <c r="G39" s="92">
        <f t="shared" si="5"/>
        <v>162833.61963973241</v>
      </c>
      <c r="H39" s="92">
        <f t="shared" si="5"/>
        <v>0</v>
      </c>
      <c r="I39" s="93">
        <f t="shared" si="5"/>
        <v>5265174.5196397407</v>
      </c>
      <c r="J39" s="94">
        <f>SUM(J34,J38)</f>
        <v>0</v>
      </c>
      <c r="K39" s="95">
        <f t="shared" si="1"/>
        <v>5265174.5196397407</v>
      </c>
      <c r="M39" s="89"/>
    </row>
    <row r="40" spans="2:13" x14ac:dyDescent="0.2">
      <c r="E40" s="52"/>
      <c r="F40" s="52"/>
      <c r="G40" s="52"/>
      <c r="H40" s="5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2.5703125" style="1" bestFit="1" customWidth="1"/>
    <col min="16" max="16384" width="8.7109375" style="1"/>
  </cols>
  <sheetData>
    <row r="3" spans="1:15" x14ac:dyDescent="0.2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">
      <c r="A4" s="99" t="s">
        <v>0</v>
      </c>
      <c r="B4" s="99" t="s">
        <v>24</v>
      </c>
      <c r="C4" s="101">
        <v>44197</v>
      </c>
      <c r="D4" s="102">
        <v>44228</v>
      </c>
      <c r="E4" s="102">
        <v>44256</v>
      </c>
      <c r="F4" s="102">
        <v>44287</v>
      </c>
      <c r="G4" s="102">
        <v>44317</v>
      </c>
      <c r="H4" s="102">
        <v>44348</v>
      </c>
      <c r="I4" s="102">
        <v>44378</v>
      </c>
      <c r="J4" s="102">
        <v>44409</v>
      </c>
      <c r="K4" s="102">
        <v>44440</v>
      </c>
      <c r="L4" s="102">
        <v>44470</v>
      </c>
      <c r="M4" s="102">
        <v>44501</v>
      </c>
      <c r="N4" s="102">
        <v>44531</v>
      </c>
      <c r="O4" s="103" t="s">
        <v>18</v>
      </c>
    </row>
    <row r="5" spans="1:15" x14ac:dyDescent="0.2">
      <c r="A5" s="97" t="s">
        <v>14</v>
      </c>
      <c r="B5" s="97" t="s">
        <v>70</v>
      </c>
      <c r="C5" s="104">
        <v>1723748.13</v>
      </c>
      <c r="D5" s="105">
        <v>2386728.1799999997</v>
      </c>
      <c r="E5" s="105">
        <v>1346186.6099999999</v>
      </c>
      <c r="F5" s="105">
        <v>1004583.33</v>
      </c>
      <c r="G5" s="105">
        <v>1355176.17</v>
      </c>
      <c r="H5" s="105">
        <v>1887807.5999999999</v>
      </c>
      <c r="I5" s="105">
        <v>2081083.14</v>
      </c>
      <c r="J5" s="105">
        <v>2119288.77</v>
      </c>
      <c r="K5" s="105">
        <v>2051867.0699999998</v>
      </c>
      <c r="L5" s="105">
        <v>1530472.5899999999</v>
      </c>
      <c r="M5" s="105">
        <v>1465298.28</v>
      </c>
      <c r="N5" s="105">
        <v>1424845.26</v>
      </c>
      <c r="O5" s="106">
        <v>20377085.130000003</v>
      </c>
    </row>
    <row r="6" spans="1:15" x14ac:dyDescent="0.2">
      <c r="A6" s="232"/>
      <c r="B6" s="107" t="s">
        <v>25</v>
      </c>
      <c r="C6" s="246">
        <v>39807.300000000047</v>
      </c>
      <c r="D6" s="247">
        <v>55117.799999999814</v>
      </c>
      <c r="E6" s="247">
        <v>31088.100000000093</v>
      </c>
      <c r="F6" s="247">
        <v>23199.300000000047</v>
      </c>
      <c r="G6" s="247">
        <v>31295.699999999953</v>
      </c>
      <c r="H6" s="247">
        <v>43596</v>
      </c>
      <c r="I6" s="247">
        <v>48059.40000000014</v>
      </c>
      <c r="J6" s="247">
        <v>48941.700000000186</v>
      </c>
      <c r="K6" s="247">
        <v>47384.699999999953</v>
      </c>
      <c r="L6" s="247">
        <v>35343.899999999907</v>
      </c>
      <c r="M6" s="247">
        <v>33838.800000000279</v>
      </c>
      <c r="N6" s="247">
        <v>32904.600000000093</v>
      </c>
      <c r="O6" s="248">
        <v>470577.30000000051</v>
      </c>
    </row>
    <row r="7" spans="1:15" x14ac:dyDescent="0.2">
      <c r="A7" s="232"/>
      <c r="B7" s="107" t="s">
        <v>26</v>
      </c>
      <c r="C7" s="246">
        <v>1270.3907626173545</v>
      </c>
      <c r="D7" s="247">
        <v>1759.0025943932603</v>
      </c>
      <c r="E7" s="247">
        <v>992.13046519921181</v>
      </c>
      <c r="F7" s="247">
        <v>740.37114848755868</v>
      </c>
      <c r="G7" s="247">
        <v>998.75571037583416</v>
      </c>
      <c r="H7" s="247">
        <v>1391.3014870907145</v>
      </c>
      <c r="I7" s="247">
        <v>1533.744258388097</v>
      </c>
      <c r="J7" s="247">
        <v>1561.9015503887426</v>
      </c>
      <c r="K7" s="247">
        <v>1512.2122115640741</v>
      </c>
      <c r="L7" s="247">
        <v>1127.9479913199721</v>
      </c>
      <c r="M7" s="247">
        <v>1079.9149637894593</v>
      </c>
      <c r="N7" s="247">
        <v>1050.1013604946581</v>
      </c>
      <c r="O7" s="248">
        <v>15017.774504108937</v>
      </c>
    </row>
    <row r="8" spans="1:15" x14ac:dyDescent="0.2">
      <c r="A8" s="232"/>
      <c r="B8" s="107" t="s">
        <v>27</v>
      </c>
      <c r="C8" s="246">
        <v>41077.6907626174</v>
      </c>
      <c r="D8" s="247">
        <v>56876.802594393077</v>
      </c>
      <c r="E8" s="247">
        <v>32080.230465199304</v>
      </c>
      <c r="F8" s="247">
        <v>23939.671148487607</v>
      </c>
      <c r="G8" s="247">
        <v>32294.455710375787</v>
      </c>
      <c r="H8" s="247">
        <v>44987.301487090714</v>
      </c>
      <c r="I8" s="247">
        <v>49593.144258388238</v>
      </c>
      <c r="J8" s="247">
        <v>50503.601550388928</v>
      </c>
      <c r="K8" s="247">
        <v>48896.912211564028</v>
      </c>
      <c r="L8" s="247">
        <v>36471.847991319883</v>
      </c>
      <c r="M8" s="247">
        <v>34918.714963789738</v>
      </c>
      <c r="N8" s="247">
        <v>33954.70136049475</v>
      </c>
      <c r="O8" s="248">
        <v>485595.07450410945</v>
      </c>
    </row>
    <row r="9" spans="1:15" x14ac:dyDescent="0.2">
      <c r="A9" s="232"/>
      <c r="B9" s="107" t="s">
        <v>49</v>
      </c>
      <c r="C9" s="108">
        <v>1683940.8299999998</v>
      </c>
      <c r="D9" s="96">
        <v>2331610.38</v>
      </c>
      <c r="E9" s="96">
        <v>1315098.5099999998</v>
      </c>
      <c r="F9" s="96">
        <v>981384.02999999991</v>
      </c>
      <c r="G9" s="96">
        <v>1323880.47</v>
      </c>
      <c r="H9" s="96">
        <v>1844211.5999999999</v>
      </c>
      <c r="I9" s="96">
        <v>2033023.7399999998</v>
      </c>
      <c r="J9" s="96">
        <v>2070347.0699999998</v>
      </c>
      <c r="K9" s="96">
        <v>2004482.3699999999</v>
      </c>
      <c r="L9" s="96">
        <v>1495128.69</v>
      </c>
      <c r="M9" s="96">
        <v>1431459.4799999997</v>
      </c>
      <c r="N9" s="96">
        <v>1391940.66</v>
      </c>
      <c r="O9" s="109">
        <v>19906507.830000002</v>
      </c>
    </row>
    <row r="10" spans="1:15" x14ac:dyDescent="0.2">
      <c r="A10" s="232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">
      <c r="A11" s="232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">
      <c r="A12" s="97" t="s">
        <v>17</v>
      </c>
      <c r="B12" s="97" t="s">
        <v>70</v>
      </c>
      <c r="C12" s="104">
        <v>211254.65999999997</v>
      </c>
      <c r="D12" s="105">
        <v>224739</v>
      </c>
      <c r="E12" s="105">
        <v>226986.38999999998</v>
      </c>
      <c r="F12" s="105">
        <v>220244.22</v>
      </c>
      <c r="G12" s="105">
        <v>222491.61</v>
      </c>
      <c r="H12" s="105">
        <v>253955.06999999998</v>
      </c>
      <c r="I12" s="105">
        <v>260697.24</v>
      </c>
      <c r="J12" s="105">
        <v>260697.24</v>
      </c>
      <c r="K12" s="105">
        <v>260697.24</v>
      </c>
      <c r="L12" s="105">
        <v>235975.94999999998</v>
      </c>
      <c r="M12" s="105">
        <v>224739</v>
      </c>
      <c r="N12" s="105">
        <v>231481.16999999998</v>
      </c>
      <c r="O12" s="106">
        <v>2833958.79</v>
      </c>
    </row>
    <row r="13" spans="1:15" x14ac:dyDescent="0.2">
      <c r="A13" s="232"/>
      <c r="B13" s="107" t="s">
        <v>25</v>
      </c>
      <c r="C13" s="246">
        <v>4878.6000000000058</v>
      </c>
      <c r="D13" s="247">
        <v>5190.0000000000291</v>
      </c>
      <c r="E13" s="247">
        <v>5241.8999999999942</v>
      </c>
      <c r="F13" s="247">
        <v>5086.2000000000116</v>
      </c>
      <c r="G13" s="247">
        <v>5138.1000000000058</v>
      </c>
      <c r="H13" s="247">
        <v>5864.7000000000116</v>
      </c>
      <c r="I13" s="247">
        <v>6020.4000000000233</v>
      </c>
      <c r="J13" s="247">
        <v>6020.4000000000233</v>
      </c>
      <c r="K13" s="247">
        <v>6020.4000000000233</v>
      </c>
      <c r="L13" s="247">
        <v>5449.5</v>
      </c>
      <c r="M13" s="247">
        <v>5190.0000000000291</v>
      </c>
      <c r="N13" s="247">
        <v>5345.7000000000116</v>
      </c>
      <c r="O13" s="248">
        <v>65445.900000000169</v>
      </c>
    </row>
    <row r="14" spans="1:15" x14ac:dyDescent="0.2">
      <c r="A14" s="232"/>
      <c r="B14" s="107" t="s">
        <v>26</v>
      </c>
      <c r="C14" s="246">
        <v>155.69326165062756</v>
      </c>
      <c r="D14" s="247">
        <v>165.63112941556125</v>
      </c>
      <c r="E14" s="247">
        <v>167.28744070971686</v>
      </c>
      <c r="F14" s="247">
        <v>162.31850682725002</v>
      </c>
      <c r="G14" s="247">
        <v>163.97481812140563</v>
      </c>
      <c r="H14" s="247">
        <v>187.1631762395842</v>
      </c>
      <c r="I14" s="247">
        <v>192.13211012205105</v>
      </c>
      <c r="J14" s="247">
        <v>192.13211012205105</v>
      </c>
      <c r="K14" s="247">
        <v>192.13211012205105</v>
      </c>
      <c r="L14" s="247">
        <v>173.91268588633932</v>
      </c>
      <c r="M14" s="247">
        <v>165.63112941556125</v>
      </c>
      <c r="N14" s="247">
        <v>170.60006329802809</v>
      </c>
      <c r="O14" s="248">
        <v>2088.6085419302271</v>
      </c>
    </row>
    <row r="15" spans="1:15" x14ac:dyDescent="0.2">
      <c r="A15" s="232"/>
      <c r="B15" s="107" t="s">
        <v>27</v>
      </c>
      <c r="C15" s="246">
        <v>5034.2932616506332</v>
      </c>
      <c r="D15" s="247">
        <v>5355.6311294155903</v>
      </c>
      <c r="E15" s="247">
        <v>5409.1874407097112</v>
      </c>
      <c r="F15" s="247">
        <v>5248.5185068272613</v>
      </c>
      <c r="G15" s="247">
        <v>5302.0748181214112</v>
      </c>
      <c r="H15" s="247">
        <v>6051.8631762395962</v>
      </c>
      <c r="I15" s="247">
        <v>6212.5321101220743</v>
      </c>
      <c r="J15" s="247">
        <v>6212.5321101220743</v>
      </c>
      <c r="K15" s="247">
        <v>6212.5321101220743</v>
      </c>
      <c r="L15" s="247">
        <v>5623.4126858863392</v>
      </c>
      <c r="M15" s="247">
        <v>5355.6311294155903</v>
      </c>
      <c r="N15" s="247">
        <v>5516.3000632980402</v>
      </c>
      <c r="O15" s="248">
        <v>67534.508541930394</v>
      </c>
    </row>
    <row r="16" spans="1:15" x14ac:dyDescent="0.2">
      <c r="A16" s="232"/>
      <c r="B16" s="107" t="s">
        <v>49</v>
      </c>
      <c r="C16" s="108">
        <v>206376.05999999997</v>
      </c>
      <c r="D16" s="96">
        <v>219548.99999999997</v>
      </c>
      <c r="E16" s="96">
        <v>221744.49</v>
      </c>
      <c r="F16" s="96">
        <v>215158.02</v>
      </c>
      <c r="G16" s="96">
        <v>217353.50999999998</v>
      </c>
      <c r="H16" s="96">
        <v>248090.36999999997</v>
      </c>
      <c r="I16" s="96">
        <v>254676.83999999997</v>
      </c>
      <c r="J16" s="96">
        <v>254676.83999999997</v>
      </c>
      <c r="K16" s="96">
        <v>254676.83999999997</v>
      </c>
      <c r="L16" s="96">
        <v>230526.44999999998</v>
      </c>
      <c r="M16" s="96">
        <v>219548.99999999997</v>
      </c>
      <c r="N16" s="96">
        <v>226135.46999999997</v>
      </c>
      <c r="O16" s="109">
        <v>2768512.8899999997</v>
      </c>
    </row>
    <row r="17" spans="1:15" x14ac:dyDescent="0.2">
      <c r="A17" s="232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">
      <c r="A18" s="232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">
      <c r="A19" s="97" t="s">
        <v>13</v>
      </c>
      <c r="B19" s="97" t="s">
        <v>70</v>
      </c>
      <c r="C19" s="104">
        <v>2186710.4699999997</v>
      </c>
      <c r="D19" s="105">
        <v>3007007.82</v>
      </c>
      <c r="E19" s="105">
        <v>1775438.0999999999</v>
      </c>
      <c r="F19" s="105">
        <v>1269775.3499999999</v>
      </c>
      <c r="G19" s="105">
        <v>1429340.0399999998</v>
      </c>
      <c r="H19" s="105">
        <v>1899044.5499999998</v>
      </c>
      <c r="I19" s="105">
        <v>2015908.8299999998</v>
      </c>
      <c r="J19" s="105">
        <v>2020403.6099999999</v>
      </c>
      <c r="K19" s="105">
        <v>2031640.5599999998</v>
      </c>
      <c r="L19" s="105">
        <v>1539462.15</v>
      </c>
      <c r="M19" s="105">
        <v>1613626.02</v>
      </c>
      <c r="N19" s="105">
        <v>1730490.2999999998</v>
      </c>
      <c r="O19" s="106">
        <v>22518847.799999997</v>
      </c>
    </row>
    <row r="20" spans="1:15" x14ac:dyDescent="0.2">
      <c r="A20" s="232"/>
      <c r="B20" s="107" t="s">
        <v>25</v>
      </c>
      <c r="C20" s="246">
        <v>50498.699999999721</v>
      </c>
      <c r="D20" s="247">
        <v>69442.200000000186</v>
      </c>
      <c r="E20" s="247">
        <v>41001</v>
      </c>
      <c r="F20" s="247">
        <v>29323.5</v>
      </c>
      <c r="G20" s="247">
        <v>33008.399999999907</v>
      </c>
      <c r="H20" s="247">
        <v>43855.5</v>
      </c>
      <c r="I20" s="247">
        <v>46554.300000000047</v>
      </c>
      <c r="J20" s="247">
        <v>46658.100000000093</v>
      </c>
      <c r="K20" s="247">
        <v>46917.600000000093</v>
      </c>
      <c r="L20" s="247">
        <v>35551.5</v>
      </c>
      <c r="M20" s="247">
        <v>37264.200000000186</v>
      </c>
      <c r="N20" s="247">
        <v>39963</v>
      </c>
      <c r="O20" s="248">
        <v>520038.00000000023</v>
      </c>
    </row>
    <row r="21" spans="1:15" x14ac:dyDescent="0.2">
      <c r="A21" s="232"/>
      <c r="B21" s="107" t="s">
        <v>26</v>
      </c>
      <c r="C21" s="246">
        <v>1611.5908892134107</v>
      </c>
      <c r="D21" s="247">
        <v>2216.1445115802094</v>
      </c>
      <c r="E21" s="247">
        <v>1308.4859223829337</v>
      </c>
      <c r="F21" s="247">
        <v>935.81588119792093</v>
      </c>
      <c r="G21" s="247">
        <v>1053.4139830829695</v>
      </c>
      <c r="H21" s="247">
        <v>1399.5830435614926</v>
      </c>
      <c r="I21" s="247">
        <v>1485.7112308575843</v>
      </c>
      <c r="J21" s="247">
        <v>1489.0238534458956</v>
      </c>
      <c r="K21" s="247">
        <v>1497.3054099166736</v>
      </c>
      <c r="L21" s="247">
        <v>1134.5732364965945</v>
      </c>
      <c r="M21" s="247">
        <v>1189.2315092037297</v>
      </c>
      <c r="N21" s="247">
        <v>1275.3596964998214</v>
      </c>
      <c r="O21" s="248">
        <v>16596.239167439235</v>
      </c>
    </row>
    <row r="22" spans="1:15" x14ac:dyDescent="0.2">
      <c r="A22" s="232"/>
      <c r="B22" s="107" t="s">
        <v>27</v>
      </c>
      <c r="C22" s="246">
        <v>52110.290889213131</v>
      </c>
      <c r="D22" s="247">
        <v>71658.344511580392</v>
      </c>
      <c r="E22" s="247">
        <v>42309.485922382933</v>
      </c>
      <c r="F22" s="247">
        <v>30259.315881197919</v>
      </c>
      <c r="G22" s="247">
        <v>34061.813983082873</v>
      </c>
      <c r="H22" s="247">
        <v>45255.083043561492</v>
      </c>
      <c r="I22" s="247">
        <v>48040.011230857628</v>
      </c>
      <c r="J22" s="247">
        <v>48147.123853445992</v>
      </c>
      <c r="K22" s="247">
        <v>48414.90540991677</v>
      </c>
      <c r="L22" s="247">
        <v>36686.073236496595</v>
      </c>
      <c r="M22" s="247">
        <v>38453.431509203918</v>
      </c>
      <c r="N22" s="247">
        <v>41238.359696499821</v>
      </c>
      <c r="O22" s="248">
        <v>536634.2391674394</v>
      </c>
    </row>
    <row r="23" spans="1:15" x14ac:dyDescent="0.2">
      <c r="A23" s="232"/>
      <c r="B23" s="107" t="s">
        <v>49</v>
      </c>
      <c r="C23" s="108">
        <v>2136211.77</v>
      </c>
      <c r="D23" s="96">
        <v>2937565.6199999996</v>
      </c>
      <c r="E23" s="96">
        <v>1734437.0999999999</v>
      </c>
      <c r="F23" s="96">
        <v>1240451.8499999999</v>
      </c>
      <c r="G23" s="96">
        <v>1396331.64</v>
      </c>
      <c r="H23" s="96">
        <v>1855189.0499999998</v>
      </c>
      <c r="I23" s="96">
        <v>1969354.5299999998</v>
      </c>
      <c r="J23" s="96">
        <v>1973745.5099999998</v>
      </c>
      <c r="K23" s="96">
        <v>1984722.9599999997</v>
      </c>
      <c r="L23" s="96">
        <v>1503910.65</v>
      </c>
      <c r="M23" s="96">
        <v>1576361.8199999998</v>
      </c>
      <c r="N23" s="96">
        <v>1690527.2999999998</v>
      </c>
      <c r="O23" s="109">
        <v>21998809.799999997</v>
      </c>
    </row>
    <row r="24" spans="1:15" x14ac:dyDescent="0.2">
      <c r="A24" s="232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">
      <c r="A25" s="232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">
      <c r="A26" s="97" t="s">
        <v>15</v>
      </c>
      <c r="B26" s="97" t="s">
        <v>70</v>
      </c>
      <c r="C26" s="104">
        <v>15731.73</v>
      </c>
      <c r="D26" s="105">
        <v>17979.12</v>
      </c>
      <c r="E26" s="105">
        <v>11236.949999999999</v>
      </c>
      <c r="F26" s="105">
        <v>13484.34</v>
      </c>
      <c r="G26" s="105">
        <v>8989.56</v>
      </c>
      <c r="H26" s="105">
        <v>29216.07</v>
      </c>
      <c r="I26" s="105">
        <v>38205.629999999997</v>
      </c>
      <c r="J26" s="105">
        <v>38205.629999999997</v>
      </c>
      <c r="K26" s="105">
        <v>35958.239999999998</v>
      </c>
      <c r="L26" s="105">
        <v>11236.949999999999</v>
      </c>
      <c r="M26" s="105">
        <v>11236.949999999999</v>
      </c>
      <c r="N26" s="105">
        <v>13484.34</v>
      </c>
      <c r="O26" s="106">
        <v>244965.51</v>
      </c>
    </row>
    <row r="27" spans="1:15" x14ac:dyDescent="0.2">
      <c r="A27" s="232"/>
      <c r="B27" s="107" t="s">
        <v>25</v>
      </c>
      <c r="C27" s="246">
        <v>363.30000000000109</v>
      </c>
      <c r="D27" s="247">
        <v>415.20000000000073</v>
      </c>
      <c r="E27" s="247">
        <v>259.5</v>
      </c>
      <c r="F27" s="247">
        <v>311.40000000000146</v>
      </c>
      <c r="G27" s="247">
        <v>207.60000000000036</v>
      </c>
      <c r="H27" s="247">
        <v>674.70000000000437</v>
      </c>
      <c r="I27" s="247">
        <v>882.30000000000291</v>
      </c>
      <c r="J27" s="247">
        <v>882.30000000000291</v>
      </c>
      <c r="K27" s="247">
        <v>830.40000000000146</v>
      </c>
      <c r="L27" s="247">
        <v>259.5</v>
      </c>
      <c r="M27" s="247">
        <v>259.5</v>
      </c>
      <c r="N27" s="247">
        <v>311.40000000000146</v>
      </c>
      <c r="O27" s="248">
        <v>5657.1000000000167</v>
      </c>
    </row>
    <row r="28" spans="1:15" x14ac:dyDescent="0.2">
      <c r="A28" s="232"/>
      <c r="B28" s="107" t="s">
        <v>26</v>
      </c>
      <c r="C28" s="246">
        <v>11.594179059089287</v>
      </c>
      <c r="D28" s="247">
        <v>13.250490353244899</v>
      </c>
      <c r="E28" s="247">
        <v>8.281556470778062</v>
      </c>
      <c r="F28" s="247">
        <v>9.9378677649336744</v>
      </c>
      <c r="G28" s="247">
        <v>6.6252451766224496</v>
      </c>
      <c r="H28" s="247">
        <v>21.532046824022963</v>
      </c>
      <c r="I28" s="247">
        <v>28.157292000645413</v>
      </c>
      <c r="J28" s="247">
        <v>28.157292000645413</v>
      </c>
      <c r="K28" s="247">
        <v>26.500980706489798</v>
      </c>
      <c r="L28" s="247">
        <v>8.281556470778062</v>
      </c>
      <c r="M28" s="247">
        <v>8.281556470778062</v>
      </c>
      <c r="N28" s="247">
        <v>9.9378677649336744</v>
      </c>
      <c r="O28" s="248">
        <v>180.53793106296177</v>
      </c>
    </row>
    <row r="29" spans="1:15" x14ac:dyDescent="0.2">
      <c r="A29" s="232"/>
      <c r="B29" s="107" t="s">
        <v>27</v>
      </c>
      <c r="C29" s="246">
        <v>374.89417905909039</v>
      </c>
      <c r="D29" s="247">
        <v>428.45049035324564</v>
      </c>
      <c r="E29" s="247">
        <v>267.78155647077807</v>
      </c>
      <c r="F29" s="247">
        <v>321.33786776493514</v>
      </c>
      <c r="G29" s="247">
        <v>214.22524517662282</v>
      </c>
      <c r="H29" s="247">
        <v>696.23204682402729</v>
      </c>
      <c r="I29" s="247">
        <v>910.45729200064829</v>
      </c>
      <c r="J29" s="247">
        <v>910.45729200064829</v>
      </c>
      <c r="K29" s="247">
        <v>856.90098070649128</v>
      </c>
      <c r="L29" s="247">
        <v>267.78155647077807</v>
      </c>
      <c r="M29" s="247">
        <v>267.78155647077807</v>
      </c>
      <c r="N29" s="247">
        <v>321.33786776493514</v>
      </c>
      <c r="O29" s="248">
        <v>5837.6379310629791</v>
      </c>
    </row>
    <row r="30" spans="1:15" x14ac:dyDescent="0.2">
      <c r="A30" s="232"/>
      <c r="B30" s="107" t="s">
        <v>49</v>
      </c>
      <c r="C30" s="108">
        <v>15368.429999999998</v>
      </c>
      <c r="D30" s="96">
        <v>17563.919999999998</v>
      </c>
      <c r="E30" s="96">
        <v>10977.449999999999</v>
      </c>
      <c r="F30" s="96">
        <v>13172.939999999999</v>
      </c>
      <c r="G30" s="96">
        <v>8781.9599999999991</v>
      </c>
      <c r="H30" s="96">
        <v>28541.369999999995</v>
      </c>
      <c r="I30" s="96">
        <v>37323.329999999994</v>
      </c>
      <c r="J30" s="96">
        <v>37323.329999999994</v>
      </c>
      <c r="K30" s="96">
        <v>35127.839999999997</v>
      </c>
      <c r="L30" s="96">
        <v>10977.449999999999</v>
      </c>
      <c r="M30" s="96">
        <v>10977.449999999999</v>
      </c>
      <c r="N30" s="96">
        <v>13172.939999999999</v>
      </c>
      <c r="O30" s="109">
        <v>239308.40999999997</v>
      </c>
    </row>
    <row r="31" spans="1:15" x14ac:dyDescent="0.2">
      <c r="A31" s="232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">
      <c r="A32" s="232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">
      <c r="A33" s="97" t="s">
        <v>16</v>
      </c>
      <c r="B33" s="97" t="s">
        <v>70</v>
      </c>
      <c r="C33" s="104">
        <v>6742.17</v>
      </c>
      <c r="D33" s="105">
        <v>11236.949999999999</v>
      </c>
      <c r="E33" s="105">
        <v>8989.56</v>
      </c>
      <c r="F33" s="105">
        <v>8989.56</v>
      </c>
      <c r="G33" s="105">
        <v>6742.17</v>
      </c>
      <c r="H33" s="105">
        <v>11236.949999999999</v>
      </c>
      <c r="I33" s="105">
        <v>11236.949999999999</v>
      </c>
      <c r="J33" s="105">
        <v>8989.56</v>
      </c>
      <c r="K33" s="105">
        <v>8989.56</v>
      </c>
      <c r="L33" s="105">
        <v>8989.56</v>
      </c>
      <c r="M33" s="105">
        <v>8989.56</v>
      </c>
      <c r="N33" s="105">
        <v>2247.39</v>
      </c>
      <c r="O33" s="106">
        <v>103379.93999999999</v>
      </c>
    </row>
    <row r="34" spans="1:15" x14ac:dyDescent="0.2">
      <c r="A34" s="232"/>
      <c r="B34" s="107" t="s">
        <v>25</v>
      </c>
      <c r="C34" s="246">
        <v>155.70000000000073</v>
      </c>
      <c r="D34" s="247">
        <v>259.5</v>
      </c>
      <c r="E34" s="247">
        <v>207.60000000000036</v>
      </c>
      <c r="F34" s="247">
        <v>207.60000000000036</v>
      </c>
      <c r="G34" s="247">
        <v>155.70000000000073</v>
      </c>
      <c r="H34" s="247">
        <v>259.5</v>
      </c>
      <c r="I34" s="247">
        <v>259.5</v>
      </c>
      <c r="J34" s="247">
        <v>207.60000000000036</v>
      </c>
      <c r="K34" s="247">
        <v>207.60000000000036</v>
      </c>
      <c r="L34" s="247">
        <v>207.60000000000036</v>
      </c>
      <c r="M34" s="247">
        <v>207.60000000000036</v>
      </c>
      <c r="N34" s="247">
        <v>51.900000000000091</v>
      </c>
      <c r="O34" s="248">
        <v>2387.4000000000037</v>
      </c>
    </row>
    <row r="35" spans="1:15" x14ac:dyDescent="0.2">
      <c r="A35" s="232"/>
      <c r="B35" s="107" t="s">
        <v>26</v>
      </c>
      <c r="C35" s="246">
        <v>4.9689338824668372</v>
      </c>
      <c r="D35" s="247">
        <v>8.281556470778062</v>
      </c>
      <c r="E35" s="247">
        <v>6.6252451766224496</v>
      </c>
      <c r="F35" s="247">
        <v>6.6252451766224496</v>
      </c>
      <c r="G35" s="247">
        <v>4.9689338824668372</v>
      </c>
      <c r="H35" s="247">
        <v>8.281556470778062</v>
      </c>
      <c r="I35" s="247">
        <v>8.281556470778062</v>
      </c>
      <c r="J35" s="247">
        <v>6.6252451766224496</v>
      </c>
      <c r="K35" s="247">
        <v>6.6252451766224496</v>
      </c>
      <c r="L35" s="247">
        <v>6.6252451766224496</v>
      </c>
      <c r="M35" s="247">
        <v>6.6252451766224496</v>
      </c>
      <c r="N35" s="247">
        <v>1.6563112941556124</v>
      </c>
      <c r="O35" s="248">
        <v>76.190319531158167</v>
      </c>
    </row>
    <row r="36" spans="1:15" x14ac:dyDescent="0.2">
      <c r="A36" s="232"/>
      <c r="B36" s="107" t="s">
        <v>27</v>
      </c>
      <c r="C36" s="246">
        <v>160.66893388246757</v>
      </c>
      <c r="D36" s="247">
        <v>267.78155647077807</v>
      </c>
      <c r="E36" s="247">
        <v>214.22524517662282</v>
      </c>
      <c r="F36" s="247">
        <v>214.22524517662282</v>
      </c>
      <c r="G36" s="247">
        <v>160.66893388246757</v>
      </c>
      <c r="H36" s="247">
        <v>267.78155647077807</v>
      </c>
      <c r="I36" s="247">
        <v>267.78155647077807</v>
      </c>
      <c r="J36" s="247">
        <v>214.22524517662282</v>
      </c>
      <c r="K36" s="247">
        <v>214.22524517662282</v>
      </c>
      <c r="L36" s="247">
        <v>214.22524517662282</v>
      </c>
      <c r="M36" s="247">
        <v>214.22524517662282</v>
      </c>
      <c r="N36" s="247">
        <v>53.556311294155705</v>
      </c>
      <c r="O36" s="248">
        <v>2463.5903195311616</v>
      </c>
    </row>
    <row r="37" spans="1:15" x14ac:dyDescent="0.2">
      <c r="A37" s="232"/>
      <c r="B37" s="107" t="s">
        <v>49</v>
      </c>
      <c r="C37" s="108">
        <v>6586.4699999999993</v>
      </c>
      <c r="D37" s="96">
        <v>10977.449999999999</v>
      </c>
      <c r="E37" s="96">
        <v>8781.9599999999991</v>
      </c>
      <c r="F37" s="96">
        <v>8781.9599999999991</v>
      </c>
      <c r="G37" s="96">
        <v>6586.4699999999993</v>
      </c>
      <c r="H37" s="96">
        <v>10977.449999999999</v>
      </c>
      <c r="I37" s="96">
        <v>10977.449999999999</v>
      </c>
      <c r="J37" s="96">
        <v>8781.9599999999991</v>
      </c>
      <c r="K37" s="96">
        <v>8781.9599999999991</v>
      </c>
      <c r="L37" s="96">
        <v>8781.9599999999991</v>
      </c>
      <c r="M37" s="96">
        <v>8781.9599999999991</v>
      </c>
      <c r="N37" s="96">
        <v>2195.4899999999998</v>
      </c>
      <c r="O37" s="109">
        <v>100992.53999999996</v>
      </c>
    </row>
    <row r="38" spans="1:15" x14ac:dyDescent="0.2">
      <c r="A38" s="232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">
      <c r="A39" s="232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">
      <c r="A40" s="97" t="s">
        <v>19</v>
      </c>
      <c r="B40" s="97" t="s">
        <v>70</v>
      </c>
      <c r="C40" s="104">
        <v>83153.429999999993</v>
      </c>
      <c r="D40" s="105">
        <v>74163.87</v>
      </c>
      <c r="E40" s="105">
        <v>105627.32999999999</v>
      </c>
      <c r="F40" s="105">
        <v>87648.209999999992</v>
      </c>
      <c r="G40" s="105">
        <v>103379.93999999999</v>
      </c>
      <c r="H40" s="105">
        <v>114616.89</v>
      </c>
      <c r="I40" s="105">
        <v>103379.93999999999</v>
      </c>
      <c r="J40" s="105">
        <v>112369.5</v>
      </c>
      <c r="K40" s="105">
        <v>101132.54999999999</v>
      </c>
      <c r="L40" s="105">
        <v>103379.93999999999</v>
      </c>
      <c r="M40" s="105">
        <v>107874.72</v>
      </c>
      <c r="N40" s="105">
        <v>94390.37999999999</v>
      </c>
      <c r="O40" s="106">
        <v>1191116.6999999997</v>
      </c>
    </row>
    <row r="41" spans="1:15" x14ac:dyDescent="0.2">
      <c r="A41" s="232"/>
      <c r="B41" s="107" t="s">
        <v>25</v>
      </c>
      <c r="C41" s="246">
        <v>1920.3000000000029</v>
      </c>
      <c r="D41" s="247">
        <v>1712.6999999999971</v>
      </c>
      <c r="E41" s="247">
        <v>2439.3000000000029</v>
      </c>
      <c r="F41" s="247">
        <v>2024.1000000000058</v>
      </c>
      <c r="G41" s="247">
        <v>2387.3999999999942</v>
      </c>
      <c r="H41" s="247">
        <v>2646.9000000000087</v>
      </c>
      <c r="I41" s="247">
        <v>2387.3999999999942</v>
      </c>
      <c r="J41" s="247">
        <v>2595.0000000000146</v>
      </c>
      <c r="K41" s="247">
        <v>2335.5</v>
      </c>
      <c r="L41" s="247">
        <v>2387.3999999999942</v>
      </c>
      <c r="M41" s="247">
        <v>2491.2000000000116</v>
      </c>
      <c r="N41" s="247">
        <v>2179.8000000000029</v>
      </c>
      <c r="O41" s="248">
        <v>27507.000000000029</v>
      </c>
    </row>
    <row r="42" spans="1:15" x14ac:dyDescent="0.2">
      <c r="A42" s="232"/>
      <c r="B42" s="107" t="s">
        <v>26</v>
      </c>
      <c r="C42" s="246">
        <v>61.283517883757661</v>
      </c>
      <c r="D42" s="247">
        <v>54.658272707135204</v>
      </c>
      <c r="E42" s="247">
        <v>77.846630825313781</v>
      </c>
      <c r="F42" s="247">
        <v>64.596140472068882</v>
      </c>
      <c r="G42" s="247">
        <v>76.190319531158167</v>
      </c>
      <c r="H42" s="247">
        <v>84.471876001936238</v>
      </c>
      <c r="I42" s="247">
        <v>76.190319531158167</v>
      </c>
      <c r="J42" s="247">
        <v>82.815564707780624</v>
      </c>
      <c r="K42" s="247">
        <v>74.534008237002567</v>
      </c>
      <c r="L42" s="247">
        <v>76.190319531158167</v>
      </c>
      <c r="M42" s="247">
        <v>79.502942119469395</v>
      </c>
      <c r="N42" s="247">
        <v>69.56507435453571</v>
      </c>
      <c r="O42" s="248">
        <v>877.84498590247449</v>
      </c>
    </row>
    <row r="43" spans="1:15" x14ac:dyDescent="0.2">
      <c r="A43" s="232"/>
      <c r="B43" s="107" t="s">
        <v>27</v>
      </c>
      <c r="C43" s="246">
        <v>1981.5835178837606</v>
      </c>
      <c r="D43" s="247">
        <v>1767.3582727071323</v>
      </c>
      <c r="E43" s="247">
        <v>2517.1466308253166</v>
      </c>
      <c r="F43" s="247">
        <v>2088.6961404720746</v>
      </c>
      <c r="G43" s="247">
        <v>2463.5903195311525</v>
      </c>
      <c r="H43" s="247">
        <v>2731.3718760019451</v>
      </c>
      <c r="I43" s="247">
        <v>2463.5903195311525</v>
      </c>
      <c r="J43" s="247">
        <v>2677.8155647077951</v>
      </c>
      <c r="K43" s="247">
        <v>2410.0340082370026</v>
      </c>
      <c r="L43" s="247">
        <v>2463.5903195311525</v>
      </c>
      <c r="M43" s="247">
        <v>2570.7029421194811</v>
      </c>
      <c r="N43" s="247">
        <v>2249.3650743545386</v>
      </c>
      <c r="O43" s="248">
        <v>28384.844985902506</v>
      </c>
    </row>
    <row r="44" spans="1:15" x14ac:dyDescent="0.2">
      <c r="A44" s="232"/>
      <c r="B44" s="107" t="s">
        <v>49</v>
      </c>
      <c r="C44" s="108">
        <v>81233.12999999999</v>
      </c>
      <c r="D44" s="96">
        <v>72451.17</v>
      </c>
      <c r="E44" s="96">
        <v>103188.02999999998</v>
      </c>
      <c r="F44" s="96">
        <v>85624.109999999986</v>
      </c>
      <c r="G44" s="96">
        <v>100992.54</v>
      </c>
      <c r="H44" s="96">
        <v>111969.98999999999</v>
      </c>
      <c r="I44" s="96">
        <v>100992.54</v>
      </c>
      <c r="J44" s="96">
        <v>109774.49999999999</v>
      </c>
      <c r="K44" s="96">
        <v>98797.049999999988</v>
      </c>
      <c r="L44" s="96">
        <v>100992.54</v>
      </c>
      <c r="M44" s="96">
        <v>105383.51999999999</v>
      </c>
      <c r="N44" s="96">
        <v>92210.579999999987</v>
      </c>
      <c r="O44" s="109">
        <v>1163609.7000000002</v>
      </c>
    </row>
    <row r="45" spans="1:15" x14ac:dyDescent="0.2">
      <c r="A45" s="232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">
      <c r="A46" s="232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">
      <c r="A47" s="97" t="s">
        <v>8</v>
      </c>
      <c r="B47" s="97" t="s">
        <v>70</v>
      </c>
      <c r="C47" s="104">
        <v>170801.63999999998</v>
      </c>
      <c r="D47" s="105">
        <v>222491.61</v>
      </c>
      <c r="E47" s="105">
        <v>148327.74</v>
      </c>
      <c r="F47" s="105">
        <v>150575.13</v>
      </c>
      <c r="G47" s="105">
        <v>226986.38999999998</v>
      </c>
      <c r="H47" s="105">
        <v>316881.99</v>
      </c>
      <c r="I47" s="105">
        <v>325871.55</v>
      </c>
      <c r="J47" s="105">
        <v>334861.11</v>
      </c>
      <c r="K47" s="105">
        <v>337108.5</v>
      </c>
      <c r="L47" s="105">
        <v>256202.46</v>
      </c>
      <c r="M47" s="105">
        <v>148327.74</v>
      </c>
      <c r="N47" s="105">
        <v>161812.07999999999</v>
      </c>
      <c r="O47" s="106">
        <v>2800247.9400000004</v>
      </c>
    </row>
    <row r="48" spans="1:15" x14ac:dyDescent="0.2">
      <c r="A48" s="232"/>
      <c r="B48" s="107" t="s">
        <v>25</v>
      </c>
      <c r="C48" s="246">
        <v>3944.3999999999942</v>
      </c>
      <c r="D48" s="247">
        <v>5138.1000000000058</v>
      </c>
      <c r="E48" s="247">
        <v>3425.3999999999942</v>
      </c>
      <c r="F48" s="247">
        <v>3477.3000000000175</v>
      </c>
      <c r="G48" s="247">
        <v>5241.8999999999942</v>
      </c>
      <c r="H48" s="247">
        <v>7317.9000000000233</v>
      </c>
      <c r="I48" s="247">
        <v>7525.5</v>
      </c>
      <c r="J48" s="247">
        <v>7733.1000000000349</v>
      </c>
      <c r="K48" s="247">
        <v>7785.0000000000582</v>
      </c>
      <c r="L48" s="247">
        <v>5916.6000000000058</v>
      </c>
      <c r="M48" s="247">
        <v>3425.3999999999942</v>
      </c>
      <c r="N48" s="247">
        <v>3736.8000000000175</v>
      </c>
      <c r="O48" s="248">
        <v>64667.40000000014</v>
      </c>
    </row>
    <row r="49" spans="1:15" x14ac:dyDescent="0.2">
      <c r="A49" s="232"/>
      <c r="B49" s="107" t="s">
        <v>26</v>
      </c>
      <c r="C49" s="246">
        <v>125.87965835582654</v>
      </c>
      <c r="D49" s="247">
        <v>163.97481812140563</v>
      </c>
      <c r="E49" s="247">
        <v>109.31654541427041</v>
      </c>
      <c r="F49" s="247">
        <v>110.97285670842602</v>
      </c>
      <c r="G49" s="247">
        <v>167.28744070971686</v>
      </c>
      <c r="H49" s="247">
        <v>233.53989247594137</v>
      </c>
      <c r="I49" s="247">
        <v>240.1651376525638</v>
      </c>
      <c r="J49" s="247">
        <v>246.79038282918626</v>
      </c>
      <c r="K49" s="247">
        <v>248.44669412334187</v>
      </c>
      <c r="L49" s="247">
        <v>188.81948753373982</v>
      </c>
      <c r="M49" s="247">
        <v>109.31654541427041</v>
      </c>
      <c r="N49" s="247">
        <v>119.25441317920409</v>
      </c>
      <c r="O49" s="248">
        <v>2063.7638725178931</v>
      </c>
    </row>
    <row r="50" spans="1:15" x14ac:dyDescent="0.2">
      <c r="A50" s="232"/>
      <c r="B50" s="107" t="s">
        <v>27</v>
      </c>
      <c r="C50" s="246">
        <v>4070.2796583558206</v>
      </c>
      <c r="D50" s="247">
        <v>5302.0748181214112</v>
      </c>
      <c r="E50" s="247">
        <v>3534.7165454142646</v>
      </c>
      <c r="F50" s="247">
        <v>3588.2728567084437</v>
      </c>
      <c r="G50" s="247">
        <v>5409.1874407097112</v>
      </c>
      <c r="H50" s="247">
        <v>7551.4398924759644</v>
      </c>
      <c r="I50" s="247">
        <v>7765.6651376525642</v>
      </c>
      <c r="J50" s="247">
        <v>7979.8903828292214</v>
      </c>
      <c r="K50" s="247">
        <v>8033.4466941234004</v>
      </c>
      <c r="L50" s="247">
        <v>6105.4194875337453</v>
      </c>
      <c r="M50" s="247">
        <v>3534.7165454142646</v>
      </c>
      <c r="N50" s="247">
        <v>3856.0544131792217</v>
      </c>
      <c r="O50" s="248">
        <v>66731.163872518038</v>
      </c>
    </row>
    <row r="51" spans="1:15" x14ac:dyDescent="0.2">
      <c r="A51" s="232"/>
      <c r="B51" s="107" t="s">
        <v>49</v>
      </c>
      <c r="C51" s="108">
        <v>166857.24</v>
      </c>
      <c r="D51" s="96">
        <v>217353.50999999998</v>
      </c>
      <c r="E51" s="96">
        <v>144902.34</v>
      </c>
      <c r="F51" s="96">
        <v>147097.82999999999</v>
      </c>
      <c r="G51" s="96">
        <v>221744.49</v>
      </c>
      <c r="H51" s="96">
        <v>309564.08999999997</v>
      </c>
      <c r="I51" s="96">
        <v>318346.05</v>
      </c>
      <c r="J51" s="96">
        <v>327128.00999999995</v>
      </c>
      <c r="K51" s="96">
        <v>329323.49999999994</v>
      </c>
      <c r="L51" s="96">
        <v>250285.86</v>
      </c>
      <c r="M51" s="96">
        <v>144902.34</v>
      </c>
      <c r="N51" s="96">
        <v>158075.27999999997</v>
      </c>
      <c r="O51" s="109">
        <v>2735580.5399999996</v>
      </c>
    </row>
    <row r="52" spans="1:15" x14ac:dyDescent="0.2">
      <c r="A52" s="232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">
      <c r="A53" s="232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">
      <c r="A54" s="97" t="s">
        <v>21</v>
      </c>
      <c r="B54" s="97" t="s">
        <v>70</v>
      </c>
      <c r="C54" s="104">
        <v>5699381.04</v>
      </c>
      <c r="D54" s="105">
        <v>6688232.6399999997</v>
      </c>
      <c r="E54" s="105">
        <v>4951000.17</v>
      </c>
      <c r="F54" s="105">
        <v>4822898.9399999995</v>
      </c>
      <c r="G54" s="105">
        <v>6654521.79</v>
      </c>
      <c r="H54" s="105">
        <v>8600761.5299999993</v>
      </c>
      <c r="I54" s="105">
        <v>8850221.8200000003</v>
      </c>
      <c r="J54" s="105">
        <v>8994054.7799999993</v>
      </c>
      <c r="K54" s="105">
        <v>9054734.3099999987</v>
      </c>
      <c r="L54" s="105">
        <v>7018598.9699999997</v>
      </c>
      <c r="M54" s="105">
        <v>5085843.5699999994</v>
      </c>
      <c r="N54" s="105">
        <v>5346540.8099999996</v>
      </c>
      <c r="O54" s="106">
        <v>81766790.36999999</v>
      </c>
    </row>
    <row r="55" spans="1:15" x14ac:dyDescent="0.2">
      <c r="A55" s="232"/>
      <c r="B55" s="107" t="s">
        <v>25</v>
      </c>
      <c r="C55" s="246">
        <v>131618.40000000037</v>
      </c>
      <c r="D55" s="247">
        <v>154454.40000000037</v>
      </c>
      <c r="E55" s="247">
        <v>114335.70000000019</v>
      </c>
      <c r="F55" s="247">
        <v>111377.40000000037</v>
      </c>
      <c r="G55" s="247">
        <v>153675.90000000037</v>
      </c>
      <c r="H55" s="247">
        <v>198621.30000000075</v>
      </c>
      <c r="I55" s="247">
        <v>204382.20000000112</v>
      </c>
      <c r="J55" s="247">
        <v>207703.80000000075</v>
      </c>
      <c r="K55" s="247">
        <v>209105.09999999963</v>
      </c>
      <c r="L55" s="247">
        <v>162083.70000000019</v>
      </c>
      <c r="M55" s="247">
        <v>117449.70000000019</v>
      </c>
      <c r="N55" s="247">
        <v>123470.10000000056</v>
      </c>
      <c r="O55" s="248">
        <v>1888277.7000000048</v>
      </c>
    </row>
    <row r="56" spans="1:15" x14ac:dyDescent="0.2">
      <c r="A56" s="232"/>
      <c r="B56" s="107" t="s">
        <v>26</v>
      </c>
      <c r="C56" s="246">
        <v>4200.4054419786326</v>
      </c>
      <c r="D56" s="247">
        <v>4929.1824114071023</v>
      </c>
      <c r="E56" s="247">
        <v>3648.853781024814</v>
      </c>
      <c r="F56" s="247">
        <v>3554.4440372579443</v>
      </c>
      <c r="G56" s="247">
        <v>4904.3377419947683</v>
      </c>
      <c r="H56" s="247">
        <v>6338.7033227335287</v>
      </c>
      <c r="I56" s="247">
        <v>6522.5538763848008</v>
      </c>
      <c r="J56" s="247">
        <v>6628.5577992107601</v>
      </c>
      <c r="K56" s="247">
        <v>6673.2782041529626</v>
      </c>
      <c r="L56" s="247">
        <v>5172.6601716479781</v>
      </c>
      <c r="M56" s="247">
        <v>3748.2324586741511</v>
      </c>
      <c r="N56" s="247">
        <v>3940.3645687962016</v>
      </c>
      <c r="O56" s="248">
        <v>60261.573815263648</v>
      </c>
    </row>
    <row r="57" spans="1:15" x14ac:dyDescent="0.2">
      <c r="A57" s="232"/>
      <c r="B57" s="107" t="s">
        <v>27</v>
      </c>
      <c r="C57" s="246">
        <v>135818.805441979</v>
      </c>
      <c r="D57" s="247">
        <v>159383.58241140746</v>
      </c>
      <c r="E57" s="247">
        <v>117984.553781025</v>
      </c>
      <c r="F57" s="247">
        <v>114931.84403725831</v>
      </c>
      <c r="G57" s="247">
        <v>158580.23774199514</v>
      </c>
      <c r="H57" s="247">
        <v>204960.00332273426</v>
      </c>
      <c r="I57" s="247">
        <v>210904.75387638592</v>
      </c>
      <c r="J57" s="247">
        <v>214332.35779921152</v>
      </c>
      <c r="K57" s="247">
        <v>215778.3782041526</v>
      </c>
      <c r="L57" s="247">
        <v>167256.36017164815</v>
      </c>
      <c r="M57" s="247">
        <v>121197.93245867433</v>
      </c>
      <c r="N57" s="247">
        <v>127410.46456879676</v>
      </c>
      <c r="O57" s="248">
        <v>1948539.2738152687</v>
      </c>
    </row>
    <row r="58" spans="1:15" x14ac:dyDescent="0.2">
      <c r="A58" s="232"/>
      <c r="B58" s="107" t="s">
        <v>49</v>
      </c>
      <c r="C58" s="108">
        <v>5567762.6399999997</v>
      </c>
      <c r="D58" s="96">
        <v>6533778.2399999993</v>
      </c>
      <c r="E58" s="96">
        <v>4836664.47</v>
      </c>
      <c r="F58" s="96">
        <v>4711521.5399999991</v>
      </c>
      <c r="G58" s="96">
        <v>6500845.8899999997</v>
      </c>
      <c r="H58" s="96">
        <v>8402140.2299999986</v>
      </c>
      <c r="I58" s="96">
        <v>8645839.6199999992</v>
      </c>
      <c r="J58" s="96">
        <v>8786350.9799999986</v>
      </c>
      <c r="K58" s="96">
        <v>8845629.209999999</v>
      </c>
      <c r="L58" s="96">
        <v>6856515.2699999996</v>
      </c>
      <c r="M58" s="96">
        <v>4968393.8699999992</v>
      </c>
      <c r="N58" s="96">
        <v>5223070.709999999</v>
      </c>
      <c r="O58" s="109">
        <v>79878512.669999987</v>
      </c>
    </row>
    <row r="59" spans="1:15" x14ac:dyDescent="0.2">
      <c r="A59" s="232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">
      <c r="A60" s="232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">
      <c r="A61" s="97" t="s">
        <v>22</v>
      </c>
      <c r="B61" s="97" t="s">
        <v>70</v>
      </c>
      <c r="C61" s="104">
        <v>6227517.6899999995</v>
      </c>
      <c r="D61" s="105">
        <v>7047815.04</v>
      </c>
      <c r="E61" s="105">
        <v>5256645.21</v>
      </c>
      <c r="F61" s="105">
        <v>5380251.6600000001</v>
      </c>
      <c r="G61" s="105">
        <v>6308423.7299999995</v>
      </c>
      <c r="H61" s="105">
        <v>7517519.5499999998</v>
      </c>
      <c r="I61" s="105">
        <v>7922049.75</v>
      </c>
      <c r="J61" s="105">
        <v>7897328.46</v>
      </c>
      <c r="K61" s="105">
        <v>7834401.5399999991</v>
      </c>
      <c r="L61" s="105">
        <v>6241002.0299999993</v>
      </c>
      <c r="M61" s="105">
        <v>5133038.76</v>
      </c>
      <c r="N61" s="105">
        <v>5449920.75</v>
      </c>
      <c r="O61" s="106">
        <v>78215914.170000002</v>
      </c>
    </row>
    <row r="62" spans="1:15" x14ac:dyDescent="0.2">
      <c r="A62" s="232"/>
      <c r="B62" s="107" t="s">
        <v>25</v>
      </c>
      <c r="C62" s="246">
        <v>143814.90000000037</v>
      </c>
      <c r="D62" s="247">
        <v>162758.40000000037</v>
      </c>
      <c r="E62" s="247">
        <v>121394.10000000056</v>
      </c>
      <c r="F62" s="247">
        <v>124248.60000000056</v>
      </c>
      <c r="G62" s="247">
        <v>145683.29999999981</v>
      </c>
      <c r="H62" s="247">
        <v>173605.50000000093</v>
      </c>
      <c r="I62" s="247">
        <v>182947.50000000093</v>
      </c>
      <c r="J62" s="247">
        <v>182376.60000000056</v>
      </c>
      <c r="K62" s="247">
        <v>180923.39999999944</v>
      </c>
      <c r="L62" s="247">
        <v>144126.29999999981</v>
      </c>
      <c r="M62" s="247">
        <v>118539.60000000056</v>
      </c>
      <c r="N62" s="247">
        <v>125857.50000000093</v>
      </c>
      <c r="O62" s="248">
        <v>1806275.7000000048</v>
      </c>
    </row>
    <row r="63" spans="1:15" x14ac:dyDescent="0.2">
      <c r="A63" s="232"/>
      <c r="B63" s="107" t="s">
        <v>26</v>
      </c>
      <c r="C63" s="246">
        <v>4589.6385961052019</v>
      </c>
      <c r="D63" s="247">
        <v>5194.1922184720006</v>
      </c>
      <c r="E63" s="247">
        <v>3874.1121170299771</v>
      </c>
      <c r="F63" s="247">
        <v>3965.2092382085361</v>
      </c>
      <c r="G63" s="247">
        <v>4649.2658026948038</v>
      </c>
      <c r="H63" s="247">
        <v>5540.3612789505241</v>
      </c>
      <c r="I63" s="247">
        <v>5838.4973118985336</v>
      </c>
      <c r="J63" s="247">
        <v>5820.2778876628217</v>
      </c>
      <c r="K63" s="247">
        <v>5773.9011714264652</v>
      </c>
      <c r="L63" s="247">
        <v>4599.5764638701357</v>
      </c>
      <c r="M63" s="247">
        <v>3783.0149958514185</v>
      </c>
      <c r="N63" s="247">
        <v>4016.55488832736</v>
      </c>
      <c r="O63" s="248">
        <v>57644.601970497773</v>
      </c>
    </row>
    <row r="64" spans="1:15" x14ac:dyDescent="0.2">
      <c r="A64" s="232"/>
      <c r="B64" s="107" t="s">
        <v>27</v>
      </c>
      <c r="C64" s="246">
        <v>148404.53859610559</v>
      </c>
      <c r="D64" s="247">
        <v>167952.59221847236</v>
      </c>
      <c r="E64" s="247">
        <v>125268.21211703053</v>
      </c>
      <c r="F64" s="247">
        <v>128213.8092382091</v>
      </c>
      <c r="G64" s="247">
        <v>150332.56580269462</v>
      </c>
      <c r="H64" s="247">
        <v>179145.86127895146</v>
      </c>
      <c r="I64" s="247">
        <v>188785.99731189947</v>
      </c>
      <c r="J64" s="247">
        <v>188196.87788766337</v>
      </c>
      <c r="K64" s="247">
        <v>186697.3011714259</v>
      </c>
      <c r="L64" s="247">
        <v>148725.87646386994</v>
      </c>
      <c r="M64" s="247">
        <v>122322.61499585198</v>
      </c>
      <c r="N64" s="247">
        <v>129874.05488832829</v>
      </c>
      <c r="O64" s="248">
        <v>1863920.3019705028</v>
      </c>
    </row>
    <row r="65" spans="1:15" x14ac:dyDescent="0.2">
      <c r="A65" s="232"/>
      <c r="B65" s="107" t="s">
        <v>49</v>
      </c>
      <c r="C65" s="108">
        <v>6083702.7899999991</v>
      </c>
      <c r="D65" s="96">
        <v>6885056.6399999997</v>
      </c>
      <c r="E65" s="96">
        <v>5135251.1099999994</v>
      </c>
      <c r="F65" s="96">
        <v>5256003.0599999996</v>
      </c>
      <c r="G65" s="96">
        <v>6162740.4299999997</v>
      </c>
      <c r="H65" s="96">
        <v>7343914.0499999989</v>
      </c>
      <c r="I65" s="96">
        <v>7739102.2499999991</v>
      </c>
      <c r="J65" s="96">
        <v>7714951.8599999994</v>
      </c>
      <c r="K65" s="96">
        <v>7653478.1399999997</v>
      </c>
      <c r="L65" s="96">
        <v>6096875.7299999995</v>
      </c>
      <c r="M65" s="96">
        <v>5014499.1599999992</v>
      </c>
      <c r="N65" s="96">
        <v>5324063.2499999991</v>
      </c>
      <c r="O65" s="109">
        <v>76409638.469999999</v>
      </c>
    </row>
    <row r="66" spans="1:15" x14ac:dyDescent="0.2">
      <c r="A66" s="232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">
      <c r="A67" s="232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">
      <c r="A68" s="97" t="s">
        <v>9</v>
      </c>
      <c r="B68" s="97" t="s">
        <v>70</v>
      </c>
      <c r="C68" s="104">
        <v>96637.76999999999</v>
      </c>
      <c r="D68" s="105">
        <v>107874.72</v>
      </c>
      <c r="E68" s="105">
        <v>78658.649999999994</v>
      </c>
      <c r="F68" s="105">
        <v>65174.31</v>
      </c>
      <c r="G68" s="105">
        <v>76411.259999999995</v>
      </c>
      <c r="H68" s="105">
        <v>101132.54999999999</v>
      </c>
      <c r="I68" s="105">
        <v>107874.72</v>
      </c>
      <c r="J68" s="105">
        <v>103379.93999999999</v>
      </c>
      <c r="K68" s="105">
        <v>103379.93999999999</v>
      </c>
      <c r="L68" s="105">
        <v>92142.989999999991</v>
      </c>
      <c r="M68" s="105">
        <v>89895.599999999991</v>
      </c>
      <c r="N68" s="105">
        <v>87648.209999999992</v>
      </c>
      <c r="O68" s="106">
        <v>1110210.6599999999</v>
      </c>
    </row>
    <row r="69" spans="1:15" x14ac:dyDescent="0.2">
      <c r="A69" s="232"/>
      <c r="B69" s="107" t="s">
        <v>25</v>
      </c>
      <c r="C69" s="246">
        <v>2231.6999999999971</v>
      </c>
      <c r="D69" s="247">
        <v>2491.2000000000116</v>
      </c>
      <c r="E69" s="247">
        <v>1816.5</v>
      </c>
      <c r="F69" s="247">
        <v>1505.1000000000058</v>
      </c>
      <c r="G69" s="247">
        <v>1764.6000000000058</v>
      </c>
      <c r="H69" s="247">
        <v>2335.5</v>
      </c>
      <c r="I69" s="247">
        <v>2491.2000000000116</v>
      </c>
      <c r="J69" s="247">
        <v>2387.3999999999942</v>
      </c>
      <c r="K69" s="247">
        <v>2387.3999999999942</v>
      </c>
      <c r="L69" s="247">
        <v>2127.8999999999942</v>
      </c>
      <c r="M69" s="247">
        <v>2076</v>
      </c>
      <c r="N69" s="247">
        <v>2024.1000000000058</v>
      </c>
      <c r="O69" s="248">
        <v>25638.60000000002</v>
      </c>
    </row>
    <row r="70" spans="1:15" x14ac:dyDescent="0.2">
      <c r="A70" s="232"/>
      <c r="B70" s="107" t="s">
        <v>26</v>
      </c>
      <c r="C70" s="246">
        <v>71.221385648691324</v>
      </c>
      <c r="D70" s="247">
        <v>79.502942119469395</v>
      </c>
      <c r="E70" s="247">
        <v>57.970895295446439</v>
      </c>
      <c r="F70" s="247">
        <v>48.033027530512761</v>
      </c>
      <c r="G70" s="247">
        <v>56.314584001290825</v>
      </c>
      <c r="H70" s="247">
        <v>74.534008237002567</v>
      </c>
      <c r="I70" s="247">
        <v>79.502942119469395</v>
      </c>
      <c r="J70" s="247">
        <v>76.190319531158167</v>
      </c>
      <c r="K70" s="247">
        <v>76.190319531158167</v>
      </c>
      <c r="L70" s="247">
        <v>67.90876306038011</v>
      </c>
      <c r="M70" s="247">
        <v>66.252451766224496</v>
      </c>
      <c r="N70" s="247">
        <v>64.596140472068882</v>
      </c>
      <c r="O70" s="248">
        <v>818.21777931287249</v>
      </c>
    </row>
    <row r="71" spans="1:15" x14ac:dyDescent="0.2">
      <c r="A71" s="232"/>
      <c r="B71" s="107" t="s">
        <v>27</v>
      </c>
      <c r="C71" s="246">
        <v>2302.9213856486886</v>
      </c>
      <c r="D71" s="247">
        <v>2570.7029421194811</v>
      </c>
      <c r="E71" s="247">
        <v>1874.4708952954466</v>
      </c>
      <c r="F71" s="247">
        <v>1553.1330275305186</v>
      </c>
      <c r="G71" s="247">
        <v>1820.9145840012966</v>
      </c>
      <c r="H71" s="247">
        <v>2410.0340082370026</v>
      </c>
      <c r="I71" s="247">
        <v>2570.7029421194811</v>
      </c>
      <c r="J71" s="247">
        <v>2463.5903195311525</v>
      </c>
      <c r="K71" s="247">
        <v>2463.5903195311525</v>
      </c>
      <c r="L71" s="247">
        <v>2195.8087630603741</v>
      </c>
      <c r="M71" s="247">
        <v>2142.2524517662246</v>
      </c>
      <c r="N71" s="247">
        <v>2088.6961404720746</v>
      </c>
      <c r="O71" s="248">
        <v>26456.817779312889</v>
      </c>
    </row>
    <row r="72" spans="1:15" x14ac:dyDescent="0.2">
      <c r="A72" s="232"/>
      <c r="B72" s="107" t="s">
        <v>49</v>
      </c>
      <c r="C72" s="108">
        <v>94406.069999999992</v>
      </c>
      <c r="D72" s="96">
        <v>105383.51999999999</v>
      </c>
      <c r="E72" s="96">
        <v>76842.149999999994</v>
      </c>
      <c r="F72" s="96">
        <v>63669.209999999992</v>
      </c>
      <c r="G72" s="96">
        <v>74646.659999999989</v>
      </c>
      <c r="H72" s="96">
        <v>98797.049999999988</v>
      </c>
      <c r="I72" s="96">
        <v>105383.51999999999</v>
      </c>
      <c r="J72" s="96">
        <v>100992.54</v>
      </c>
      <c r="K72" s="96">
        <v>100992.54</v>
      </c>
      <c r="L72" s="96">
        <v>90015.09</v>
      </c>
      <c r="M72" s="96">
        <v>87819.599999999991</v>
      </c>
      <c r="N72" s="96">
        <v>85624.109999999986</v>
      </c>
      <c r="O72" s="109">
        <v>1084572.06</v>
      </c>
    </row>
    <row r="73" spans="1:15" x14ac:dyDescent="0.2">
      <c r="A73" s="232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">
      <c r="A74" s="232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">
      <c r="A75" s="97" t="s">
        <v>54</v>
      </c>
      <c r="B75" s="97" t="s">
        <v>70</v>
      </c>
      <c r="C75" s="104">
        <v>233728.56</v>
      </c>
      <c r="D75" s="105">
        <v>298902.87</v>
      </c>
      <c r="E75" s="105">
        <v>195522.93</v>
      </c>
      <c r="F75" s="105">
        <v>173049.03</v>
      </c>
      <c r="G75" s="105">
        <v>233728.56</v>
      </c>
      <c r="H75" s="105">
        <v>323624.15999999997</v>
      </c>
      <c r="I75" s="105">
        <v>361829.79</v>
      </c>
      <c r="J75" s="105">
        <v>366324.57</v>
      </c>
      <c r="K75" s="105">
        <v>343850.67</v>
      </c>
      <c r="L75" s="105">
        <v>262944.63</v>
      </c>
      <c r="M75" s="105">
        <v>204512.49</v>
      </c>
      <c r="N75" s="105">
        <v>211254.65999999997</v>
      </c>
      <c r="O75" s="106">
        <v>3209272.92</v>
      </c>
    </row>
    <row r="76" spans="1:15" x14ac:dyDescent="0.2">
      <c r="A76" s="232"/>
      <c r="B76" s="107" t="s">
        <v>25</v>
      </c>
      <c r="C76" s="108">
        <v>5397.6000000000349</v>
      </c>
      <c r="D76" s="96">
        <v>6902.7000000000116</v>
      </c>
      <c r="E76" s="96">
        <v>4515.3000000000175</v>
      </c>
      <c r="F76" s="96">
        <v>3996.3000000000175</v>
      </c>
      <c r="G76" s="96">
        <v>5397.6000000000349</v>
      </c>
      <c r="H76" s="96">
        <v>7473.6000000000349</v>
      </c>
      <c r="I76" s="96">
        <v>8355.9000000000233</v>
      </c>
      <c r="J76" s="96">
        <v>8459.7000000000698</v>
      </c>
      <c r="K76" s="96">
        <v>7940.7000000000116</v>
      </c>
      <c r="L76" s="96">
        <v>6072.3000000000175</v>
      </c>
      <c r="M76" s="96">
        <v>4722.9000000000233</v>
      </c>
      <c r="N76" s="96">
        <v>4878.6000000000058</v>
      </c>
      <c r="O76" s="109">
        <v>74113.200000000303</v>
      </c>
    </row>
    <row r="77" spans="1:15" x14ac:dyDescent="0.2">
      <c r="A77" s="232"/>
      <c r="B77" s="107" t="s">
        <v>26</v>
      </c>
      <c r="C77" s="108">
        <v>172.2563745921837</v>
      </c>
      <c r="D77" s="96">
        <v>220.28940212269643</v>
      </c>
      <c r="E77" s="96">
        <v>144.09908259153829</v>
      </c>
      <c r="F77" s="96">
        <v>127.53596964998215</v>
      </c>
      <c r="G77" s="96">
        <v>172.2563745921837</v>
      </c>
      <c r="H77" s="96">
        <v>238.50882635840819</v>
      </c>
      <c r="I77" s="96">
        <v>266.6661183590536</v>
      </c>
      <c r="J77" s="96">
        <v>269.97874094736483</v>
      </c>
      <c r="K77" s="96">
        <v>253.41562800580868</v>
      </c>
      <c r="L77" s="96">
        <v>193.78842141620666</v>
      </c>
      <c r="M77" s="96">
        <v>150.72432776816072</v>
      </c>
      <c r="N77" s="96">
        <v>155.69326165062756</v>
      </c>
      <c r="O77" s="109">
        <v>2365.2125280542141</v>
      </c>
    </row>
    <row r="78" spans="1:15" x14ac:dyDescent="0.2">
      <c r="A78" s="232"/>
      <c r="B78" s="107" t="s">
        <v>27</v>
      </c>
      <c r="C78" s="108">
        <v>5569.8563745922183</v>
      </c>
      <c r="D78" s="96">
        <v>7122.9894021227083</v>
      </c>
      <c r="E78" s="96">
        <v>4659.3990825915562</v>
      </c>
      <c r="F78" s="96">
        <v>4123.8359696499992</v>
      </c>
      <c r="G78" s="96">
        <v>5569.8563745922183</v>
      </c>
      <c r="H78" s="96">
        <v>7712.1088263584434</v>
      </c>
      <c r="I78" s="96">
        <v>8622.5661183590764</v>
      </c>
      <c r="J78" s="96">
        <v>8729.6787409474346</v>
      </c>
      <c r="K78" s="96">
        <v>8194.1156280058203</v>
      </c>
      <c r="L78" s="96">
        <v>6266.0884214162243</v>
      </c>
      <c r="M78" s="96">
        <v>4873.6243277681842</v>
      </c>
      <c r="N78" s="96">
        <v>5034.2932616506332</v>
      </c>
      <c r="O78" s="109">
        <v>76478.412528054512</v>
      </c>
    </row>
    <row r="79" spans="1:15" x14ac:dyDescent="0.2">
      <c r="A79" s="232"/>
      <c r="B79" s="107" t="s">
        <v>49</v>
      </c>
      <c r="C79" s="108">
        <v>228330.95999999996</v>
      </c>
      <c r="D79" s="96">
        <v>292000.17</v>
      </c>
      <c r="E79" s="96">
        <v>191007.62999999998</v>
      </c>
      <c r="F79" s="96">
        <v>169052.72999999998</v>
      </c>
      <c r="G79" s="96">
        <v>228330.95999999996</v>
      </c>
      <c r="H79" s="96">
        <v>316150.55999999994</v>
      </c>
      <c r="I79" s="96">
        <v>353473.88999999996</v>
      </c>
      <c r="J79" s="96">
        <v>357864.86999999994</v>
      </c>
      <c r="K79" s="96">
        <v>335909.97</v>
      </c>
      <c r="L79" s="96">
        <v>256872.33</v>
      </c>
      <c r="M79" s="96">
        <v>199789.58999999997</v>
      </c>
      <c r="N79" s="96">
        <v>206376.05999999997</v>
      </c>
      <c r="O79" s="109">
        <v>3135159.7199999993</v>
      </c>
    </row>
    <row r="80" spans="1:15" x14ac:dyDescent="0.2">
      <c r="A80" s="232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">
      <c r="A81" s="232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">
      <c r="A82" s="97" t="s">
        <v>55</v>
      </c>
      <c r="B82" s="97" t="s">
        <v>70</v>
      </c>
      <c r="C82" s="104">
        <v>24721.289999999997</v>
      </c>
      <c r="D82" s="105">
        <v>17979.12</v>
      </c>
      <c r="E82" s="105">
        <v>15731.73</v>
      </c>
      <c r="F82" s="105">
        <v>26968.68</v>
      </c>
      <c r="G82" s="105">
        <v>24721.289999999997</v>
      </c>
      <c r="H82" s="105">
        <v>29216.07</v>
      </c>
      <c r="I82" s="105">
        <v>29216.07</v>
      </c>
      <c r="J82" s="105">
        <v>26968.68</v>
      </c>
      <c r="K82" s="105">
        <v>29216.07</v>
      </c>
      <c r="L82" s="105">
        <v>17979.12</v>
      </c>
      <c r="M82" s="105">
        <v>17979.12</v>
      </c>
      <c r="N82" s="105">
        <v>24721.289999999997</v>
      </c>
      <c r="O82" s="106">
        <v>285418.52999999997</v>
      </c>
    </row>
    <row r="83" spans="1:15" x14ac:dyDescent="0.2">
      <c r="A83" s="232"/>
      <c r="B83" s="107" t="s">
        <v>25</v>
      </c>
      <c r="C83" s="108">
        <v>570.89999999999782</v>
      </c>
      <c r="D83" s="96">
        <v>415.20000000000073</v>
      </c>
      <c r="E83" s="96">
        <v>363.30000000000109</v>
      </c>
      <c r="F83" s="96">
        <v>622.80000000000291</v>
      </c>
      <c r="G83" s="96">
        <v>570.89999999999782</v>
      </c>
      <c r="H83" s="96">
        <v>674.70000000000437</v>
      </c>
      <c r="I83" s="96">
        <v>674.70000000000437</v>
      </c>
      <c r="J83" s="96">
        <v>622.80000000000291</v>
      </c>
      <c r="K83" s="96">
        <v>674.70000000000437</v>
      </c>
      <c r="L83" s="96">
        <v>415.20000000000073</v>
      </c>
      <c r="M83" s="96">
        <v>415.20000000000073</v>
      </c>
      <c r="N83" s="96">
        <v>570.89999999999782</v>
      </c>
      <c r="O83" s="109">
        <v>6591.3000000000156</v>
      </c>
    </row>
    <row r="84" spans="1:15" x14ac:dyDescent="0.2">
      <c r="A84" s="232"/>
      <c r="B84" s="107" t="s">
        <v>26</v>
      </c>
      <c r="C84" s="108">
        <v>18.219424235711738</v>
      </c>
      <c r="D84" s="96">
        <v>13.250490353244899</v>
      </c>
      <c r="E84" s="96">
        <v>11.594179059089287</v>
      </c>
      <c r="F84" s="96">
        <v>19.875735529867349</v>
      </c>
      <c r="G84" s="96">
        <v>18.219424235711738</v>
      </c>
      <c r="H84" s="96">
        <v>21.532046824022963</v>
      </c>
      <c r="I84" s="96">
        <v>21.532046824022963</v>
      </c>
      <c r="J84" s="96">
        <v>19.875735529867349</v>
      </c>
      <c r="K84" s="96">
        <v>21.532046824022963</v>
      </c>
      <c r="L84" s="96">
        <v>13.250490353244899</v>
      </c>
      <c r="M84" s="96">
        <v>13.250490353244899</v>
      </c>
      <c r="N84" s="96">
        <v>18.219424235711738</v>
      </c>
      <c r="O84" s="109">
        <v>210.35153435776274</v>
      </c>
    </row>
    <row r="85" spans="1:15" x14ac:dyDescent="0.2">
      <c r="A85" s="232"/>
      <c r="B85" s="107" t="s">
        <v>27</v>
      </c>
      <c r="C85" s="108">
        <v>589.11942423570952</v>
      </c>
      <c r="D85" s="96">
        <v>428.45049035324564</v>
      </c>
      <c r="E85" s="96">
        <v>374.89417905909039</v>
      </c>
      <c r="F85" s="96">
        <v>642.67573552987028</v>
      </c>
      <c r="G85" s="96">
        <v>589.11942423570952</v>
      </c>
      <c r="H85" s="96">
        <v>696.23204682402729</v>
      </c>
      <c r="I85" s="96">
        <v>696.23204682402729</v>
      </c>
      <c r="J85" s="96">
        <v>642.67573552987028</v>
      </c>
      <c r="K85" s="96">
        <v>696.23204682402729</v>
      </c>
      <c r="L85" s="96">
        <v>428.45049035324564</v>
      </c>
      <c r="M85" s="96">
        <v>428.45049035324564</v>
      </c>
      <c r="N85" s="96">
        <v>589.11942423570952</v>
      </c>
      <c r="O85" s="109">
        <v>6801.6515343577767</v>
      </c>
    </row>
    <row r="86" spans="1:15" x14ac:dyDescent="0.2">
      <c r="A86" s="232"/>
      <c r="B86" s="107" t="s">
        <v>49</v>
      </c>
      <c r="C86" s="108">
        <v>24150.39</v>
      </c>
      <c r="D86" s="96">
        <v>17563.919999999998</v>
      </c>
      <c r="E86" s="96">
        <v>15368.429999999998</v>
      </c>
      <c r="F86" s="96">
        <v>26345.879999999997</v>
      </c>
      <c r="G86" s="96">
        <v>24150.39</v>
      </c>
      <c r="H86" s="96">
        <v>28541.369999999995</v>
      </c>
      <c r="I86" s="96">
        <v>28541.369999999995</v>
      </c>
      <c r="J86" s="96">
        <v>26345.879999999997</v>
      </c>
      <c r="K86" s="96">
        <v>28541.369999999995</v>
      </c>
      <c r="L86" s="96">
        <v>17563.919999999998</v>
      </c>
      <c r="M86" s="96">
        <v>17563.919999999998</v>
      </c>
      <c r="N86" s="96">
        <v>24150.39</v>
      </c>
      <c r="O86" s="109">
        <v>278827.23</v>
      </c>
    </row>
    <row r="87" spans="1:15" x14ac:dyDescent="0.2">
      <c r="A87" s="232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">
      <c r="A88" s="232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">
      <c r="A89" s="97" t="s">
        <v>56</v>
      </c>
      <c r="B89" s="97" t="s">
        <v>70</v>
      </c>
      <c r="C89" s="104">
        <v>44947.799999999996</v>
      </c>
      <c r="D89" s="105">
        <v>51689.969999999994</v>
      </c>
      <c r="E89" s="105">
        <v>35958.239999999998</v>
      </c>
      <c r="F89" s="105">
        <v>44947.799999999996</v>
      </c>
      <c r="G89" s="105">
        <v>60679.53</v>
      </c>
      <c r="H89" s="105">
        <v>71916.479999999996</v>
      </c>
      <c r="I89" s="105">
        <v>83153.429999999993</v>
      </c>
      <c r="J89" s="105">
        <v>74163.87</v>
      </c>
      <c r="K89" s="105">
        <v>83153.429999999993</v>
      </c>
      <c r="L89" s="105">
        <v>60679.53</v>
      </c>
      <c r="M89" s="105">
        <v>35958.239999999998</v>
      </c>
      <c r="N89" s="105">
        <v>42700.409999999996</v>
      </c>
      <c r="O89" s="106">
        <v>689948.73</v>
      </c>
    </row>
    <row r="90" spans="1:15" x14ac:dyDescent="0.2">
      <c r="A90" s="232"/>
      <c r="B90" s="107" t="s">
        <v>25</v>
      </c>
      <c r="C90" s="108">
        <v>1038</v>
      </c>
      <c r="D90" s="96">
        <v>1193.6999999999971</v>
      </c>
      <c r="E90" s="96">
        <v>830.40000000000146</v>
      </c>
      <c r="F90" s="96">
        <v>1038</v>
      </c>
      <c r="G90" s="96">
        <v>1401.3000000000029</v>
      </c>
      <c r="H90" s="96">
        <v>1660.8000000000029</v>
      </c>
      <c r="I90" s="96">
        <v>1920.3000000000029</v>
      </c>
      <c r="J90" s="96">
        <v>1712.6999999999971</v>
      </c>
      <c r="K90" s="96">
        <v>1920.3000000000029</v>
      </c>
      <c r="L90" s="96">
        <v>1401.3000000000029</v>
      </c>
      <c r="M90" s="96">
        <v>830.40000000000146</v>
      </c>
      <c r="N90" s="96">
        <v>986.09999999999854</v>
      </c>
      <c r="O90" s="109">
        <v>15933.30000000001</v>
      </c>
    </row>
    <row r="91" spans="1:15" x14ac:dyDescent="0.2">
      <c r="A91" s="232"/>
      <c r="B91" s="107" t="s">
        <v>26</v>
      </c>
      <c r="C91" s="108">
        <v>33.126225883112248</v>
      </c>
      <c r="D91" s="96">
        <v>38.095159765579083</v>
      </c>
      <c r="E91" s="96">
        <v>26.500980706489798</v>
      </c>
      <c r="F91" s="96">
        <v>33.126225883112248</v>
      </c>
      <c r="G91" s="96">
        <v>44.720404942201533</v>
      </c>
      <c r="H91" s="96">
        <v>53.001961412979597</v>
      </c>
      <c r="I91" s="96">
        <v>61.283517883757661</v>
      </c>
      <c r="J91" s="96">
        <v>54.658272707135204</v>
      </c>
      <c r="K91" s="96">
        <v>61.283517883757661</v>
      </c>
      <c r="L91" s="96">
        <v>44.720404942201533</v>
      </c>
      <c r="M91" s="96">
        <v>26.500980706489798</v>
      </c>
      <c r="N91" s="96">
        <v>31.469914588956634</v>
      </c>
      <c r="O91" s="109">
        <v>508.48756730577293</v>
      </c>
    </row>
    <row r="92" spans="1:15" x14ac:dyDescent="0.2">
      <c r="A92" s="232"/>
      <c r="B92" s="107" t="s">
        <v>27</v>
      </c>
      <c r="C92" s="108">
        <v>1071.1262258831123</v>
      </c>
      <c r="D92" s="96">
        <v>1231.7951597655763</v>
      </c>
      <c r="E92" s="96">
        <v>856.90098070649128</v>
      </c>
      <c r="F92" s="96">
        <v>1071.1262258831123</v>
      </c>
      <c r="G92" s="96">
        <v>1446.0204049422046</v>
      </c>
      <c r="H92" s="96">
        <v>1713.8019614129826</v>
      </c>
      <c r="I92" s="96">
        <v>1981.5835178837606</v>
      </c>
      <c r="J92" s="96">
        <v>1767.3582727071323</v>
      </c>
      <c r="K92" s="96">
        <v>1981.5835178837606</v>
      </c>
      <c r="L92" s="96">
        <v>1446.0204049422046</v>
      </c>
      <c r="M92" s="96">
        <v>856.90098070649128</v>
      </c>
      <c r="N92" s="96">
        <v>1017.5699145889552</v>
      </c>
      <c r="O92" s="109">
        <v>16441.787567305782</v>
      </c>
    </row>
    <row r="93" spans="1:15" x14ac:dyDescent="0.2">
      <c r="A93" s="232"/>
      <c r="B93" s="107" t="s">
        <v>49</v>
      </c>
      <c r="C93" s="108">
        <v>43909.799999999996</v>
      </c>
      <c r="D93" s="96">
        <v>50496.27</v>
      </c>
      <c r="E93" s="96">
        <v>35127.839999999997</v>
      </c>
      <c r="F93" s="96">
        <v>43909.799999999996</v>
      </c>
      <c r="G93" s="96">
        <v>59278.229999999996</v>
      </c>
      <c r="H93" s="96">
        <v>70255.679999999993</v>
      </c>
      <c r="I93" s="96">
        <v>81233.12999999999</v>
      </c>
      <c r="J93" s="96">
        <v>72451.17</v>
      </c>
      <c r="K93" s="96">
        <v>81233.12999999999</v>
      </c>
      <c r="L93" s="96">
        <v>59278.229999999996</v>
      </c>
      <c r="M93" s="96">
        <v>35127.839999999997</v>
      </c>
      <c r="N93" s="96">
        <v>41714.31</v>
      </c>
      <c r="O93" s="109">
        <v>674015.42999999993</v>
      </c>
    </row>
    <row r="94" spans="1:15" x14ac:dyDescent="0.2">
      <c r="A94" s="232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">
      <c r="A95" s="232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">
      <c r="A96" s="97" t="s">
        <v>57</v>
      </c>
      <c r="B96" s="97" t="s">
        <v>70</v>
      </c>
      <c r="C96" s="104">
        <v>78658.649999999994</v>
      </c>
      <c r="D96" s="105">
        <v>74163.87</v>
      </c>
      <c r="E96" s="105">
        <v>67421.7</v>
      </c>
      <c r="F96" s="105">
        <v>71916.479999999996</v>
      </c>
      <c r="G96" s="105">
        <v>89895.599999999991</v>
      </c>
      <c r="H96" s="105">
        <v>103379.93999999999</v>
      </c>
      <c r="I96" s="105">
        <v>107874.72</v>
      </c>
      <c r="J96" s="105">
        <v>112369.5</v>
      </c>
      <c r="K96" s="105">
        <v>116864.28</v>
      </c>
      <c r="L96" s="105">
        <v>89895.599999999991</v>
      </c>
      <c r="M96" s="105">
        <v>71916.479999999996</v>
      </c>
      <c r="N96" s="105">
        <v>78658.649999999994</v>
      </c>
      <c r="O96" s="106">
        <v>1063015.47</v>
      </c>
    </row>
    <row r="97" spans="1:15" x14ac:dyDescent="0.2">
      <c r="A97" s="232"/>
      <c r="B97" s="107" t="s">
        <v>25</v>
      </c>
      <c r="C97" s="108">
        <v>1816.5</v>
      </c>
      <c r="D97" s="96">
        <v>1712.6999999999971</v>
      </c>
      <c r="E97" s="96">
        <v>1557</v>
      </c>
      <c r="F97" s="96">
        <v>1660.8000000000029</v>
      </c>
      <c r="G97" s="96">
        <v>2076</v>
      </c>
      <c r="H97" s="96">
        <v>2387.3999999999942</v>
      </c>
      <c r="I97" s="96">
        <v>2491.2000000000116</v>
      </c>
      <c r="J97" s="96">
        <v>2595.0000000000146</v>
      </c>
      <c r="K97" s="96">
        <v>2698.8000000000175</v>
      </c>
      <c r="L97" s="96">
        <v>2076</v>
      </c>
      <c r="M97" s="96">
        <v>1660.8000000000029</v>
      </c>
      <c r="N97" s="96">
        <v>1816.5</v>
      </c>
      <c r="O97" s="109">
        <v>24548.700000000041</v>
      </c>
    </row>
    <row r="98" spans="1:15" x14ac:dyDescent="0.2">
      <c r="A98" s="232"/>
      <c r="B98" s="107" t="s">
        <v>26</v>
      </c>
      <c r="C98" s="108">
        <v>57.970895295446439</v>
      </c>
      <c r="D98" s="96">
        <v>54.658272707135204</v>
      </c>
      <c r="E98" s="96">
        <v>49.689338824668368</v>
      </c>
      <c r="F98" s="96">
        <v>53.001961412979597</v>
      </c>
      <c r="G98" s="96">
        <v>66.252451766224496</v>
      </c>
      <c r="H98" s="96">
        <v>76.190319531158167</v>
      </c>
      <c r="I98" s="96">
        <v>79.502942119469395</v>
      </c>
      <c r="J98" s="96">
        <v>82.815564707780624</v>
      </c>
      <c r="K98" s="96">
        <v>86.128187296091852</v>
      </c>
      <c r="L98" s="96">
        <v>66.252451766224496</v>
      </c>
      <c r="M98" s="96">
        <v>53.001961412979597</v>
      </c>
      <c r="N98" s="96">
        <v>57.970895295446439</v>
      </c>
      <c r="O98" s="109">
        <v>783.43524213560465</v>
      </c>
    </row>
    <row r="99" spans="1:15" x14ac:dyDescent="0.2">
      <c r="A99" s="232"/>
      <c r="B99" s="107" t="s">
        <v>27</v>
      </c>
      <c r="C99" s="108">
        <v>1874.4708952954466</v>
      </c>
      <c r="D99" s="96">
        <v>1767.3582727071323</v>
      </c>
      <c r="E99" s="96">
        <v>1606.6893388246683</v>
      </c>
      <c r="F99" s="96">
        <v>1713.8019614129826</v>
      </c>
      <c r="G99" s="96">
        <v>2142.2524517662246</v>
      </c>
      <c r="H99" s="96">
        <v>2463.5903195311525</v>
      </c>
      <c r="I99" s="96">
        <v>2570.7029421194811</v>
      </c>
      <c r="J99" s="96">
        <v>2677.8155647077951</v>
      </c>
      <c r="K99" s="96">
        <v>2784.9281872961092</v>
      </c>
      <c r="L99" s="96">
        <v>2142.2524517662246</v>
      </c>
      <c r="M99" s="96">
        <v>1713.8019614129826</v>
      </c>
      <c r="N99" s="96">
        <v>1874.4708952954466</v>
      </c>
      <c r="O99" s="109">
        <v>25332.135242135642</v>
      </c>
    </row>
    <row r="100" spans="1:15" x14ac:dyDescent="0.2">
      <c r="A100" s="232"/>
      <c r="B100" s="107" t="s">
        <v>49</v>
      </c>
      <c r="C100" s="108">
        <v>76842.149999999994</v>
      </c>
      <c r="D100" s="96">
        <v>72451.17</v>
      </c>
      <c r="E100" s="96">
        <v>65864.7</v>
      </c>
      <c r="F100" s="96">
        <v>70255.679999999993</v>
      </c>
      <c r="G100" s="96">
        <v>87819.599999999991</v>
      </c>
      <c r="H100" s="96">
        <v>100992.54</v>
      </c>
      <c r="I100" s="96">
        <v>105383.51999999999</v>
      </c>
      <c r="J100" s="96">
        <v>109774.49999999999</v>
      </c>
      <c r="K100" s="96">
        <v>114165.47999999998</v>
      </c>
      <c r="L100" s="96">
        <v>87819.599999999991</v>
      </c>
      <c r="M100" s="96">
        <v>70255.679999999993</v>
      </c>
      <c r="N100" s="96">
        <v>76842.149999999994</v>
      </c>
      <c r="O100" s="109">
        <v>1038466.7699999999</v>
      </c>
    </row>
    <row r="101" spans="1:15" x14ac:dyDescent="0.2">
      <c r="A101" s="232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">
      <c r="A102" s="232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">
      <c r="A103" s="97" t="s">
        <v>81</v>
      </c>
      <c r="B103" s="97" t="s">
        <v>70</v>
      </c>
      <c r="C103" s="104">
        <v>328118.94</v>
      </c>
      <c r="D103" s="105">
        <v>476446.68</v>
      </c>
      <c r="E103" s="105">
        <v>280923.75</v>
      </c>
      <c r="F103" s="105">
        <v>206759.87999999998</v>
      </c>
      <c r="G103" s="105">
        <v>229233.78</v>
      </c>
      <c r="H103" s="105">
        <v>278676.36</v>
      </c>
      <c r="I103" s="105">
        <v>310139.82</v>
      </c>
      <c r="J103" s="105">
        <v>314634.59999999998</v>
      </c>
      <c r="K103" s="105">
        <v>314634.59999999998</v>
      </c>
      <c r="L103" s="105">
        <v>238223.34</v>
      </c>
      <c r="M103" s="105">
        <v>240470.72999999998</v>
      </c>
      <c r="N103" s="105">
        <v>247212.9</v>
      </c>
      <c r="O103" s="106">
        <v>3465475.38</v>
      </c>
    </row>
    <row r="104" spans="1:15" x14ac:dyDescent="0.2">
      <c r="A104" s="232"/>
      <c r="B104" s="107" t="s">
        <v>25</v>
      </c>
      <c r="C104" s="108">
        <v>7577.4000000000233</v>
      </c>
      <c r="D104" s="96">
        <v>11002.800000000047</v>
      </c>
      <c r="E104" s="96">
        <v>6487.5</v>
      </c>
      <c r="F104" s="96">
        <v>4774.7999999999884</v>
      </c>
      <c r="G104" s="96">
        <v>5293.8000000000175</v>
      </c>
      <c r="H104" s="96">
        <v>6435.6000000000349</v>
      </c>
      <c r="I104" s="96">
        <v>7162.2000000000116</v>
      </c>
      <c r="J104" s="96">
        <v>7266</v>
      </c>
      <c r="K104" s="96">
        <v>7266</v>
      </c>
      <c r="L104" s="96">
        <v>5501.4000000000233</v>
      </c>
      <c r="M104" s="96">
        <v>5553.3000000000175</v>
      </c>
      <c r="N104" s="96">
        <v>5709.0000000000291</v>
      </c>
      <c r="O104" s="109">
        <v>80029.800000000192</v>
      </c>
    </row>
    <row r="105" spans="1:15" x14ac:dyDescent="0.2">
      <c r="A105" s="232"/>
      <c r="B105" s="107" t="s">
        <v>26</v>
      </c>
      <c r="C105" s="108">
        <v>241.82144894671941</v>
      </c>
      <c r="D105" s="96">
        <v>351.13799436098986</v>
      </c>
      <c r="E105" s="96">
        <v>207.03891176945154</v>
      </c>
      <c r="F105" s="96">
        <v>152.38063906231633</v>
      </c>
      <c r="G105" s="96">
        <v>168.94375200387248</v>
      </c>
      <c r="H105" s="96">
        <v>205.38260047529593</v>
      </c>
      <c r="I105" s="96">
        <v>228.57095859347453</v>
      </c>
      <c r="J105" s="96">
        <v>231.88358118178576</v>
      </c>
      <c r="K105" s="96">
        <v>231.88358118178576</v>
      </c>
      <c r="L105" s="96">
        <v>175.56899718049493</v>
      </c>
      <c r="M105" s="96">
        <v>177.22530847465055</v>
      </c>
      <c r="N105" s="96">
        <v>182.19424235711736</v>
      </c>
      <c r="O105" s="109">
        <v>2554.0320155879544</v>
      </c>
    </row>
    <row r="106" spans="1:15" x14ac:dyDescent="0.2">
      <c r="A106" s="232"/>
      <c r="B106" s="107" t="s">
        <v>27</v>
      </c>
      <c r="C106" s="108">
        <v>7819.2214489467424</v>
      </c>
      <c r="D106" s="96">
        <v>11353.937994361037</v>
      </c>
      <c r="E106" s="96">
        <v>6694.5389117694513</v>
      </c>
      <c r="F106" s="96">
        <v>4927.1806390623051</v>
      </c>
      <c r="G106" s="96">
        <v>5462.7437520038902</v>
      </c>
      <c r="H106" s="96">
        <v>6640.9826004753304</v>
      </c>
      <c r="I106" s="96">
        <v>7390.7709585934863</v>
      </c>
      <c r="J106" s="96">
        <v>7497.8835811817862</v>
      </c>
      <c r="K106" s="96">
        <v>7497.8835811817862</v>
      </c>
      <c r="L106" s="96">
        <v>5676.9689971805183</v>
      </c>
      <c r="M106" s="96">
        <v>5730.5253084746682</v>
      </c>
      <c r="N106" s="96">
        <v>5891.1942423571463</v>
      </c>
      <c r="O106" s="109">
        <v>82583.832015588137</v>
      </c>
    </row>
    <row r="107" spans="1:15" x14ac:dyDescent="0.2">
      <c r="A107" s="232"/>
      <c r="B107" s="107" t="s">
        <v>49</v>
      </c>
      <c r="C107" s="108">
        <v>320541.53999999998</v>
      </c>
      <c r="D107" s="96">
        <v>465443.87999999995</v>
      </c>
      <c r="E107" s="96">
        <v>274436.25</v>
      </c>
      <c r="F107" s="96">
        <v>201985.08</v>
      </c>
      <c r="G107" s="96">
        <v>223939.97999999998</v>
      </c>
      <c r="H107" s="96">
        <v>272240.75999999995</v>
      </c>
      <c r="I107" s="96">
        <v>302977.62</v>
      </c>
      <c r="J107" s="96">
        <v>307368.59999999998</v>
      </c>
      <c r="K107" s="96">
        <v>307368.59999999998</v>
      </c>
      <c r="L107" s="96">
        <v>232721.93999999997</v>
      </c>
      <c r="M107" s="96">
        <v>234917.42999999996</v>
      </c>
      <c r="N107" s="96">
        <v>241503.89999999997</v>
      </c>
      <c r="O107" s="109">
        <v>3385445.58</v>
      </c>
    </row>
    <row r="108" spans="1:15" x14ac:dyDescent="0.2">
      <c r="A108" s="232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">
      <c r="A109" s="232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">
      <c r="A110" s="97" t="s">
        <v>83</v>
      </c>
      <c r="B110" s="97" t="s">
        <v>70</v>
      </c>
      <c r="C110" s="104">
        <v>85400.819999999992</v>
      </c>
      <c r="D110" s="105">
        <v>134843.4</v>
      </c>
      <c r="E110" s="105">
        <v>69669.09</v>
      </c>
      <c r="F110" s="105">
        <v>44947.799999999996</v>
      </c>
      <c r="G110" s="105">
        <v>62926.92</v>
      </c>
      <c r="H110" s="105">
        <v>101132.54999999999</v>
      </c>
      <c r="I110" s="105">
        <v>119111.67</v>
      </c>
      <c r="J110" s="105">
        <v>112369.5</v>
      </c>
      <c r="K110" s="105">
        <v>110122.11</v>
      </c>
      <c r="L110" s="105">
        <v>85400.819999999992</v>
      </c>
      <c r="M110" s="105">
        <v>71916.479999999996</v>
      </c>
      <c r="N110" s="105">
        <v>69669.09</v>
      </c>
      <c r="O110" s="106">
        <v>1067510.2499999998</v>
      </c>
    </row>
    <row r="111" spans="1:15" x14ac:dyDescent="0.2">
      <c r="A111" s="232"/>
      <c r="B111" s="107" t="s">
        <v>25</v>
      </c>
      <c r="C111" s="108">
        <v>1972.1999999999971</v>
      </c>
      <c r="D111" s="96">
        <v>3114</v>
      </c>
      <c r="E111" s="96">
        <v>1608.9000000000087</v>
      </c>
      <c r="F111" s="96">
        <v>1038</v>
      </c>
      <c r="G111" s="96">
        <v>1453.2000000000044</v>
      </c>
      <c r="H111" s="96">
        <v>2335.5</v>
      </c>
      <c r="I111" s="96">
        <v>2750.7000000000116</v>
      </c>
      <c r="J111" s="96">
        <v>2595.0000000000146</v>
      </c>
      <c r="K111" s="96">
        <v>2543.1000000000058</v>
      </c>
      <c r="L111" s="96">
        <v>1972.1999999999971</v>
      </c>
      <c r="M111" s="96">
        <v>1660.8000000000029</v>
      </c>
      <c r="N111" s="96">
        <v>1608.9000000000087</v>
      </c>
      <c r="O111" s="109">
        <v>24652.500000000051</v>
      </c>
    </row>
    <row r="112" spans="1:15" x14ac:dyDescent="0.2">
      <c r="A112" s="232"/>
      <c r="B112" s="107" t="s">
        <v>26</v>
      </c>
      <c r="C112" s="108">
        <v>62.939829177913268</v>
      </c>
      <c r="D112" s="96">
        <v>99.378677649336737</v>
      </c>
      <c r="E112" s="96">
        <v>51.345650118823983</v>
      </c>
      <c r="F112" s="96">
        <v>33.126225883112248</v>
      </c>
      <c r="G112" s="96">
        <v>46.376716236357147</v>
      </c>
      <c r="H112" s="96">
        <v>74.534008237002567</v>
      </c>
      <c r="I112" s="96">
        <v>87.784498590247466</v>
      </c>
      <c r="J112" s="96">
        <v>82.815564707780624</v>
      </c>
      <c r="K112" s="96">
        <v>81.159253413625009</v>
      </c>
      <c r="L112" s="96">
        <v>62.939829177913268</v>
      </c>
      <c r="M112" s="96">
        <v>53.001961412979597</v>
      </c>
      <c r="N112" s="96">
        <v>51.345650118823983</v>
      </c>
      <c r="O112" s="109">
        <v>786.747864723916</v>
      </c>
    </row>
    <row r="113" spans="1:15" x14ac:dyDescent="0.2">
      <c r="A113" s="232"/>
      <c r="B113" s="107" t="s">
        <v>27</v>
      </c>
      <c r="C113" s="108">
        <v>2035.1398291779103</v>
      </c>
      <c r="D113" s="96">
        <v>3213.3786776493366</v>
      </c>
      <c r="E113" s="96">
        <v>1660.2456501188326</v>
      </c>
      <c r="F113" s="96">
        <v>1071.1262258831123</v>
      </c>
      <c r="G113" s="96">
        <v>1499.5767162363616</v>
      </c>
      <c r="H113" s="96">
        <v>2410.0340082370026</v>
      </c>
      <c r="I113" s="96">
        <v>2838.4844985902591</v>
      </c>
      <c r="J113" s="96">
        <v>2677.8155647077951</v>
      </c>
      <c r="K113" s="96">
        <v>2624.2592534136306</v>
      </c>
      <c r="L113" s="96">
        <v>2035.1398291779103</v>
      </c>
      <c r="M113" s="96">
        <v>1713.8019614129826</v>
      </c>
      <c r="N113" s="96">
        <v>1660.2456501188326</v>
      </c>
      <c r="O113" s="109">
        <v>25439.247864723966</v>
      </c>
    </row>
    <row r="114" spans="1:15" x14ac:dyDescent="0.2">
      <c r="A114" s="232"/>
      <c r="B114" s="107" t="s">
        <v>49</v>
      </c>
      <c r="C114" s="108">
        <v>83428.62</v>
      </c>
      <c r="D114" s="96">
        <v>131729.4</v>
      </c>
      <c r="E114" s="96">
        <v>68060.189999999988</v>
      </c>
      <c r="F114" s="96">
        <v>43909.799999999996</v>
      </c>
      <c r="G114" s="96">
        <v>61473.719999999994</v>
      </c>
      <c r="H114" s="96">
        <v>98797.049999999988</v>
      </c>
      <c r="I114" s="96">
        <v>116360.96999999999</v>
      </c>
      <c r="J114" s="96">
        <v>109774.49999999999</v>
      </c>
      <c r="K114" s="96">
        <v>107579.01</v>
      </c>
      <c r="L114" s="96">
        <v>83428.62</v>
      </c>
      <c r="M114" s="96">
        <v>70255.679999999993</v>
      </c>
      <c r="N114" s="96">
        <v>68060.189999999988</v>
      </c>
      <c r="O114" s="109">
        <v>1042857.7499999998</v>
      </c>
    </row>
    <row r="115" spans="1:15" x14ac:dyDescent="0.2">
      <c r="A115" s="232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">
      <c r="A116" s="232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">
      <c r="A117" s="97" t="s">
        <v>71</v>
      </c>
      <c r="B117" s="98"/>
      <c r="C117" s="104">
        <v>17217254.789999999</v>
      </c>
      <c r="D117" s="105">
        <v>20842294.859999999</v>
      </c>
      <c r="E117" s="105">
        <v>14574324.149999999</v>
      </c>
      <c r="F117" s="105">
        <v>13592214.720000001</v>
      </c>
      <c r="G117" s="105">
        <v>17093648.34</v>
      </c>
      <c r="H117" s="105">
        <v>21640118.310000002</v>
      </c>
      <c r="I117" s="105">
        <v>22727855.07</v>
      </c>
      <c r="J117" s="105">
        <v>22896409.320000004</v>
      </c>
      <c r="K117" s="105">
        <v>22817750.670000002</v>
      </c>
      <c r="L117" s="105">
        <v>17792586.630000003</v>
      </c>
      <c r="M117" s="105">
        <v>14531623.74</v>
      </c>
      <c r="N117" s="105">
        <v>15217077.689999999</v>
      </c>
      <c r="O117" s="106">
        <v>220943158.28999993</v>
      </c>
    </row>
    <row r="118" spans="1:15" x14ac:dyDescent="0.2">
      <c r="A118" s="97" t="s">
        <v>28</v>
      </c>
      <c r="B118" s="98"/>
      <c r="C118" s="249">
        <v>397605.90000000061</v>
      </c>
      <c r="D118" s="250">
        <v>481320.60000000085</v>
      </c>
      <c r="E118" s="250">
        <v>336571.50000000087</v>
      </c>
      <c r="F118" s="250">
        <v>313891.20000000106</v>
      </c>
      <c r="G118" s="250">
        <v>394751.4000000002</v>
      </c>
      <c r="H118" s="250">
        <v>499745.10000000178</v>
      </c>
      <c r="I118" s="250">
        <v>524864.70000000228</v>
      </c>
      <c r="J118" s="250">
        <v>528757.2000000017</v>
      </c>
      <c r="K118" s="250">
        <v>526940.69999999914</v>
      </c>
      <c r="L118" s="250">
        <v>410892.3</v>
      </c>
      <c r="M118" s="250">
        <v>335585.40000000136</v>
      </c>
      <c r="N118" s="250">
        <v>351414.90000000165</v>
      </c>
      <c r="O118" s="251">
        <v>5102340.9000000106</v>
      </c>
    </row>
    <row r="119" spans="1:15" x14ac:dyDescent="0.2">
      <c r="A119" s="97" t="s">
        <v>29</v>
      </c>
      <c r="B119" s="98"/>
      <c r="C119" s="249">
        <v>12689.000824526142</v>
      </c>
      <c r="D119" s="250">
        <v>15360.630941999147</v>
      </c>
      <c r="E119" s="250">
        <v>10741.178742599146</v>
      </c>
      <c r="F119" s="250">
        <v>10017.370707053144</v>
      </c>
      <c r="G119" s="250">
        <v>12597.903703347585</v>
      </c>
      <c r="H119" s="250">
        <v>15948.621451424391</v>
      </c>
      <c r="I119" s="250">
        <v>16750.276117795707</v>
      </c>
      <c r="J119" s="250">
        <v>16874.499464857377</v>
      </c>
      <c r="K119" s="250">
        <v>16816.528569561935</v>
      </c>
      <c r="L119" s="250">
        <v>13113.016515829982</v>
      </c>
      <c r="M119" s="250">
        <v>10709.708828010187</v>
      </c>
      <c r="N119" s="250">
        <v>11214.883772727653</v>
      </c>
      <c r="O119" s="251">
        <v>162833.61963973241</v>
      </c>
    </row>
    <row r="120" spans="1:15" x14ac:dyDescent="0.2">
      <c r="A120" s="97" t="s">
        <v>30</v>
      </c>
      <c r="B120" s="98"/>
      <c r="C120" s="249">
        <v>410294.90082452679</v>
      </c>
      <c r="D120" s="250">
        <v>496681.23094200005</v>
      </c>
      <c r="E120" s="250">
        <v>347312.67874260002</v>
      </c>
      <c r="F120" s="250">
        <v>323908.57070705428</v>
      </c>
      <c r="G120" s="250">
        <v>407349.30370334769</v>
      </c>
      <c r="H120" s="250">
        <v>515693.72145142616</v>
      </c>
      <c r="I120" s="250">
        <v>541614.97611779801</v>
      </c>
      <c r="J120" s="250">
        <v>545631.69946485921</v>
      </c>
      <c r="K120" s="250">
        <v>543757.22856956127</v>
      </c>
      <c r="L120" s="250">
        <v>424005.31651582994</v>
      </c>
      <c r="M120" s="250">
        <v>346295.10882801149</v>
      </c>
      <c r="N120" s="250">
        <v>362629.7837727294</v>
      </c>
      <c r="O120" s="251">
        <v>5265174.5196397444</v>
      </c>
    </row>
    <row r="121" spans="1:15" x14ac:dyDescent="0.2">
      <c r="A121" s="97" t="s">
        <v>61</v>
      </c>
      <c r="B121" s="98"/>
      <c r="C121" s="104">
        <v>16819648.890000001</v>
      </c>
      <c r="D121" s="105">
        <v>20360974.260000002</v>
      </c>
      <c r="E121" s="105">
        <v>14237752.649999999</v>
      </c>
      <c r="F121" s="105">
        <v>13278323.520000001</v>
      </c>
      <c r="G121" s="105">
        <v>16698896.940000001</v>
      </c>
      <c r="H121" s="105">
        <v>21140373.209999997</v>
      </c>
      <c r="I121" s="105">
        <v>22202990.369999997</v>
      </c>
      <c r="J121" s="105">
        <v>22367652.120000001</v>
      </c>
      <c r="K121" s="105">
        <v>22290809.969999999</v>
      </c>
      <c r="L121" s="105">
        <v>17381694.330000002</v>
      </c>
      <c r="M121" s="105">
        <v>14196038.339999996</v>
      </c>
      <c r="N121" s="105">
        <v>14865662.790000001</v>
      </c>
      <c r="O121" s="106">
        <v>215840817.38999999</v>
      </c>
    </row>
    <row r="122" spans="1:15" x14ac:dyDescent="0.2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">
      <c r="A123" s="110" t="s">
        <v>90</v>
      </c>
      <c r="B123" s="233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M15" sqref="M15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61" customWidth="1"/>
    <col min="5" max="5" width="24.28515625" style="1" customWidth="1"/>
    <col min="6" max="6" width="7.7109375" style="161" customWidth="1"/>
    <col min="7" max="7" width="8.5703125" style="161" bestFit="1" customWidth="1"/>
    <col min="8" max="8" width="11.140625" style="161" bestFit="1" customWidth="1"/>
    <col min="9" max="9" width="11.28515625" style="162" customWidth="1"/>
    <col min="10" max="10" width="15.85546875" style="161" bestFit="1" customWidth="1"/>
    <col min="11" max="11" width="16.140625" style="163" customWidth="1"/>
    <col min="12" max="12" width="14.7109375" style="161" customWidth="1"/>
    <col min="13" max="13" width="13.42578125" style="124" bestFit="1" customWidth="1"/>
    <col min="14" max="15" width="13.42578125" style="124" customWidth="1"/>
    <col min="16" max="16" width="14.85546875" style="124" bestFit="1" customWidth="1"/>
    <col min="17" max="17" width="13.42578125" style="124" customWidth="1"/>
    <col min="18" max="18" width="15.5703125" style="231" customWidth="1"/>
    <col min="19" max="16384" width="8.7109375" style="1"/>
  </cols>
  <sheetData>
    <row r="1" spans="2:18" ht="22.5" x14ac:dyDescent="0.2">
      <c r="B1" s="10" t="s">
        <v>98</v>
      </c>
      <c r="C1" s="114"/>
      <c r="D1" s="115"/>
      <c r="E1" s="114"/>
      <c r="F1" s="116" t="s">
        <v>12</v>
      </c>
      <c r="G1" s="117"/>
      <c r="H1" s="118"/>
      <c r="I1" s="119"/>
      <c r="J1" s="240" t="str">
        <f>"True-Up ARR
(CY"&amp;R1&amp;")"</f>
        <v>True-Up ARR
(CY2021)</v>
      </c>
      <c r="K1" s="240" t="str">
        <f>"Projected ARR
(Jan'"&amp;RIGHT(R$1,2)&amp;" - Dec'"&amp;RIGHT(R$1,2)&amp;")"</f>
        <v>Projected ARR
(Jan'21 - Dec'21)</v>
      </c>
      <c r="L1" s="120" t="s">
        <v>45</v>
      </c>
      <c r="M1" s="121"/>
      <c r="N1" s="52"/>
      <c r="O1" s="52"/>
      <c r="P1" s="52"/>
      <c r="Q1" s="52"/>
      <c r="R1" s="122">
        <v>2021</v>
      </c>
    </row>
    <row r="2" spans="2:18" x14ac:dyDescent="0.2">
      <c r="B2" s="10" t="s">
        <v>52</v>
      </c>
      <c r="C2" s="114"/>
      <c r="D2" s="115"/>
      <c r="E2" s="114"/>
      <c r="F2" s="123">
        <v>9</v>
      </c>
      <c r="G2" s="253"/>
      <c r="H2" s="253"/>
      <c r="I2" s="125" t="s">
        <v>6</v>
      </c>
      <c r="J2" s="126">
        <v>220943583.22074926</v>
      </c>
      <c r="K2" s="126">
        <v>215714648.13692978</v>
      </c>
      <c r="L2" s="127"/>
      <c r="M2" s="128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CY2021 SPP Network Transmission Service</v>
      </c>
      <c r="C3" s="114"/>
      <c r="D3" s="115"/>
      <c r="E3" s="114"/>
      <c r="F3" s="123"/>
      <c r="G3" s="253"/>
      <c r="H3" s="253"/>
      <c r="I3" s="125" t="s">
        <v>10</v>
      </c>
      <c r="J3" s="129">
        <v>2247.39</v>
      </c>
      <c r="K3" s="129">
        <v>2195.4899999999998</v>
      </c>
      <c r="L3" s="130" t="str">
        <f>"Inv. Jan-Dec'"&amp;RIGHT(R1,2)</f>
        <v>Inv. Jan-Dec'21</v>
      </c>
      <c r="M3" s="128"/>
      <c r="N3" s="52"/>
      <c r="O3" s="52"/>
      <c r="P3" s="52"/>
      <c r="Q3" s="52"/>
      <c r="R3" s="1"/>
    </row>
    <row r="4" spans="2:18" x14ac:dyDescent="0.2">
      <c r="B4" s="9"/>
      <c r="C4" s="114"/>
      <c r="D4" s="115"/>
      <c r="E4" s="114"/>
      <c r="F4" s="123"/>
      <c r="G4" s="124"/>
      <c r="H4" s="124"/>
      <c r="I4" s="51"/>
      <c r="J4" s="124"/>
      <c r="K4" s="131"/>
      <c r="L4" s="124"/>
      <c r="M4" s="132"/>
      <c r="R4" s="1"/>
    </row>
    <row r="5" spans="2:18" x14ac:dyDescent="0.2">
      <c r="B5" s="9"/>
      <c r="C5" s="114"/>
      <c r="D5" s="115"/>
      <c r="E5" s="114"/>
      <c r="F5" s="123"/>
      <c r="G5" s="124"/>
      <c r="H5" s="124"/>
      <c r="I5" s="125"/>
      <c r="J5" s="124"/>
      <c r="K5" s="126">
        <v>0</v>
      </c>
      <c r="L5" s="127"/>
      <c r="M5" s="133"/>
      <c r="N5" s="134"/>
      <c r="O5" s="134"/>
      <c r="P5" s="134"/>
      <c r="Q5" s="134"/>
      <c r="R5" s="135"/>
    </row>
    <row r="6" spans="2:18" x14ac:dyDescent="0.2">
      <c r="B6" s="10" t="s">
        <v>23</v>
      </c>
      <c r="D6" s="115"/>
      <c r="E6" s="114"/>
      <c r="F6" s="136"/>
      <c r="G6" s="137"/>
      <c r="H6" s="138"/>
      <c r="I6" s="139"/>
      <c r="J6" s="140"/>
      <c r="K6" s="129">
        <v>0</v>
      </c>
      <c r="L6" s="234"/>
      <c r="M6" s="133"/>
      <c r="N6" s="134"/>
      <c r="O6" s="134"/>
      <c r="P6" s="134"/>
      <c r="Q6" s="134"/>
      <c r="R6" s="1"/>
    </row>
    <row r="7" spans="2:18" x14ac:dyDescent="0.2">
      <c r="B7" s="9" t="s">
        <v>77</v>
      </c>
      <c r="D7" s="115"/>
      <c r="E7" s="114"/>
      <c r="F7" s="123"/>
      <c r="G7" s="254"/>
      <c r="H7" s="253"/>
      <c r="I7" s="125"/>
      <c r="J7" s="141"/>
      <c r="K7" s="127"/>
      <c r="L7" s="127"/>
      <c r="M7" s="142"/>
      <c r="N7" s="143"/>
      <c r="O7" s="143"/>
      <c r="P7" s="143"/>
      <c r="Q7" s="143"/>
      <c r="R7" s="1"/>
    </row>
    <row r="8" spans="2:18" x14ac:dyDescent="0.2">
      <c r="B8" s="10"/>
      <c r="C8" s="114"/>
      <c r="D8" s="115"/>
      <c r="E8" s="114"/>
      <c r="F8" s="123"/>
      <c r="G8" s="253"/>
      <c r="H8" s="253"/>
      <c r="I8" s="125"/>
      <c r="J8" s="144"/>
      <c r="K8" s="127"/>
      <c r="L8" s="145"/>
      <c r="M8" s="128"/>
      <c r="N8" s="52"/>
      <c r="O8" s="52"/>
      <c r="P8" s="52"/>
      <c r="Q8" s="52"/>
      <c r="R8" s="135"/>
    </row>
    <row r="9" spans="2:18" x14ac:dyDescent="0.2">
      <c r="B9" s="146"/>
      <c r="C9" s="114"/>
      <c r="D9" s="115"/>
      <c r="E9" s="114"/>
      <c r="F9" s="123"/>
      <c r="G9" s="124"/>
      <c r="H9" s="124"/>
      <c r="I9" s="147"/>
      <c r="J9" s="148"/>
      <c r="K9" s="149"/>
      <c r="L9" s="150"/>
      <c r="M9" s="128"/>
      <c r="N9" s="52"/>
      <c r="O9" s="52"/>
      <c r="P9" s="52"/>
      <c r="Q9" s="52"/>
      <c r="R9" s="135"/>
    </row>
    <row r="10" spans="2:18" ht="13.5" thickBot="1" x14ac:dyDescent="0.25">
      <c r="B10" s="9"/>
      <c r="D10" s="1"/>
      <c r="E10" s="151"/>
      <c r="F10" s="152"/>
      <c r="G10" s="153"/>
      <c r="H10" s="154"/>
      <c r="I10" s="155"/>
      <c r="J10" s="156"/>
      <c r="K10" s="156"/>
      <c r="L10" s="157"/>
      <c r="M10" s="158"/>
      <c r="R10" s="159"/>
    </row>
    <row r="11" spans="2:18" x14ac:dyDescent="0.2">
      <c r="B11" s="160"/>
      <c r="E11" s="151"/>
      <c r="L11" s="164"/>
      <c r="M11" s="1"/>
      <c r="N11" s="1"/>
      <c r="O11" s="1"/>
      <c r="P11" s="1"/>
      <c r="Q11" s="1"/>
      <c r="R11" s="135"/>
    </row>
    <row r="12" spans="2:18" x14ac:dyDescent="0.2">
      <c r="E12" s="151"/>
      <c r="L12" s="164"/>
      <c r="R12" s="165" t="s">
        <v>60</v>
      </c>
    </row>
    <row r="13" spans="2:18" x14ac:dyDescent="0.2">
      <c r="E13" s="151"/>
      <c r="F13" s="166"/>
      <c r="G13" s="167"/>
      <c r="H13" s="167"/>
      <c r="I13" s="168" t="s">
        <v>58</v>
      </c>
      <c r="J13" s="169">
        <f t="shared" ref="J13:R13" si="0">SUM(J56:J211)</f>
        <v>57494978.37000002</v>
      </c>
      <c r="K13" s="169">
        <f t="shared" si="0"/>
        <v>56167220.670000046</v>
      </c>
      <c r="L13" s="170">
        <f t="shared" si="0"/>
        <v>1327757.7000000014</v>
      </c>
      <c r="M13" s="171">
        <f t="shared" si="0"/>
        <v>42373.411838383036</v>
      </c>
      <c r="N13" s="169">
        <f t="shared" si="0"/>
        <v>1370131.1118383848</v>
      </c>
      <c r="O13" s="169">
        <f t="shared" si="0"/>
        <v>0</v>
      </c>
      <c r="P13" s="169">
        <f t="shared" si="0"/>
        <v>0</v>
      </c>
      <c r="Q13" s="169">
        <f t="shared" si="0"/>
        <v>0</v>
      </c>
      <c r="R13" s="170">
        <f t="shared" si="0"/>
        <v>1370131.1118383848</v>
      </c>
    </row>
    <row r="14" spans="2:18" x14ac:dyDescent="0.2">
      <c r="E14" s="151"/>
      <c r="F14" s="172"/>
      <c r="G14" s="172"/>
      <c r="H14" s="172"/>
      <c r="I14" s="173" t="s">
        <v>59</v>
      </c>
      <c r="J14" s="169">
        <f>SUM(J20:J211)</f>
        <v>220943158.28999996</v>
      </c>
      <c r="K14" s="169">
        <f>SUM(K20:K211)</f>
        <v>215840817.39000002</v>
      </c>
      <c r="L14" s="170">
        <f>SUM(L20:L211)</f>
        <v>5102340.9000000153</v>
      </c>
      <c r="M14" s="235">
        <v>162833.61963973241</v>
      </c>
      <c r="N14" s="169">
        <f>SUM(N20:N211)</f>
        <v>5265174.5196397481</v>
      </c>
      <c r="O14" s="169">
        <f>SUM(O20:O211)</f>
        <v>0</v>
      </c>
      <c r="P14" s="169">
        <f>SUM(P20:P211)</f>
        <v>0</v>
      </c>
      <c r="Q14" s="169">
        <f>SUM(Q20:Q211)</f>
        <v>0</v>
      </c>
      <c r="R14" s="170">
        <f>SUM(R20:R211)</f>
        <v>5265174.5196397481</v>
      </c>
    </row>
    <row r="15" spans="2:18" x14ac:dyDescent="0.2">
      <c r="B15" s="174" t="s">
        <v>82</v>
      </c>
      <c r="E15" s="151"/>
      <c r="J15" s="162"/>
      <c r="L15" s="164"/>
      <c r="M15" s="245"/>
      <c r="N15" s="175"/>
      <c r="O15" s="175"/>
      <c r="P15" s="175"/>
      <c r="Q15" s="175"/>
      <c r="R15" s="176" t="s">
        <v>20</v>
      </c>
    </row>
    <row r="16" spans="2:18" x14ac:dyDescent="0.2">
      <c r="B16" s="177" t="str">
        <f>"** Actual Trued-Up CY"&amp;R1&amp;" Charge reflects "&amp;R1&amp;" True-UP Rate x MW"</f>
        <v>** Actual Trued-Up CY2021 Charge reflects 2021 True-UP Rate x MW</v>
      </c>
      <c r="E16" s="151"/>
      <c r="F16" s="124"/>
      <c r="G16" s="5"/>
      <c r="J16" s="178"/>
      <c r="L16" s="179" t="s">
        <v>11</v>
      </c>
      <c r="M16" s="175"/>
      <c r="N16" s="175"/>
      <c r="O16" s="175"/>
      <c r="P16" s="175"/>
      <c r="Q16" s="175"/>
      <c r="R16" s="180"/>
    </row>
    <row r="17" spans="1:18" x14ac:dyDescent="0.2">
      <c r="B17" s="181" t="s">
        <v>62</v>
      </c>
      <c r="E17" s="151"/>
      <c r="I17" s="182"/>
      <c r="J17" s="183"/>
      <c r="K17" s="184"/>
      <c r="L17" s="184"/>
      <c r="M17" s="184"/>
      <c r="N17" s="184"/>
      <c r="O17" s="184"/>
      <c r="P17" s="184"/>
      <c r="Q17" s="184"/>
      <c r="R17" s="185"/>
    </row>
    <row r="18" spans="1:18" ht="3.6" customHeight="1" x14ac:dyDescent="0.2">
      <c r="I18" s="186"/>
      <c r="J18" s="183"/>
      <c r="K18" s="186"/>
      <c r="L18" s="186"/>
      <c r="M18" s="187"/>
      <c r="N18" s="187"/>
      <c r="O18" s="187"/>
      <c r="P18" s="187"/>
      <c r="Q18" s="187"/>
      <c r="R18" s="188"/>
    </row>
    <row r="19" spans="1:18" ht="38.25" customHeight="1" x14ac:dyDescent="0.2">
      <c r="B19" s="189" t="s">
        <v>53</v>
      </c>
      <c r="C19" s="241" t="s">
        <v>4</v>
      </c>
      <c r="D19" s="241" t="s">
        <v>5</v>
      </c>
      <c r="E19" s="242" t="s">
        <v>0</v>
      </c>
      <c r="F19" s="243" t="s">
        <v>12</v>
      </c>
      <c r="G19" s="244" t="s">
        <v>1</v>
      </c>
      <c r="H19" s="190" t="s">
        <v>48</v>
      </c>
      <c r="I19" s="190" t="s">
        <v>46</v>
      </c>
      <c r="J19" s="191" t="str">
        <f>"True-Up Charge"</f>
        <v>True-Up Charge</v>
      </c>
      <c r="K19" s="191" t="s">
        <v>47</v>
      </c>
      <c r="L19" s="192" t="s">
        <v>3</v>
      </c>
      <c r="M19" s="193" t="s">
        <v>7</v>
      </c>
      <c r="N19" s="194" t="s">
        <v>100</v>
      </c>
      <c r="O19" s="194" t="s">
        <v>84</v>
      </c>
      <c r="P19" s="194" t="s">
        <v>85</v>
      </c>
      <c r="Q19" s="194" t="s">
        <v>86</v>
      </c>
      <c r="R19" s="195" t="s">
        <v>2</v>
      </c>
    </row>
    <row r="20" spans="1:18" s="52" customFormat="1" ht="12.75" customHeight="1" x14ac:dyDescent="0.2">
      <c r="A20" s="124">
        <v>1</v>
      </c>
      <c r="B20" s="196">
        <f>DATE($R$1,A20,1)</f>
        <v>44197</v>
      </c>
      <c r="C20" s="197">
        <v>44230</v>
      </c>
      <c r="D20" s="197">
        <v>44251</v>
      </c>
      <c r="E20" s="198" t="s">
        <v>21</v>
      </c>
      <c r="F20" s="148">
        <v>9</v>
      </c>
      <c r="G20" s="199">
        <v>2536</v>
      </c>
      <c r="H20" s="200">
        <f>+$K$3</f>
        <v>2195.4899999999998</v>
      </c>
      <c r="I20" s="239">
        <f t="shared" ref="I20:I63" si="1">$J$3</f>
        <v>2247.39</v>
      </c>
      <c r="J20" s="201">
        <f t="shared" ref="J20:J108" si="2">+$G20*I20</f>
        <v>5699381.04</v>
      </c>
      <c r="K20" s="202">
        <f>+$G20*H20</f>
        <v>5567762.6399999997</v>
      </c>
      <c r="L20" s="203">
        <f t="shared" ref="L20:L34" si="3">+J20-K20</f>
        <v>131618.40000000037</v>
      </c>
      <c r="M20" s="204">
        <f>G20/$G$212*$M$14</f>
        <v>4200.4054419786326</v>
      </c>
      <c r="N20" s="205">
        <f>SUM(L20:M20)</f>
        <v>135818.805441979</v>
      </c>
      <c r="O20" s="204">
        <v>0</v>
      </c>
      <c r="P20" s="204">
        <v>0</v>
      </c>
      <c r="Q20" s="204">
        <v>0</v>
      </c>
      <c r="R20" s="205">
        <f>+N20-Q20</f>
        <v>135818.805441979</v>
      </c>
    </row>
    <row r="21" spans="1:18" x14ac:dyDescent="0.2">
      <c r="A21" s="161">
        <v>2</v>
      </c>
      <c r="B21" s="196">
        <f t="shared" ref="B21:B108" si="4">DATE($R$1,A21,1)</f>
        <v>44228</v>
      </c>
      <c r="C21" s="197">
        <v>44258</v>
      </c>
      <c r="D21" s="197">
        <v>44279</v>
      </c>
      <c r="E21" s="206" t="s">
        <v>21</v>
      </c>
      <c r="F21" s="236">
        <v>9</v>
      </c>
      <c r="G21" s="199">
        <v>2976</v>
      </c>
      <c r="H21" s="200">
        <f t="shared" ref="H21:H84" si="5">+$K$3</f>
        <v>2195.4899999999998</v>
      </c>
      <c r="I21" s="200">
        <f t="shared" si="1"/>
        <v>2247.39</v>
      </c>
      <c r="J21" s="201">
        <f t="shared" si="2"/>
        <v>6688232.6399999997</v>
      </c>
      <c r="K21" s="202">
        <f t="shared" ref="K21:K33" si="6">+$G21*H21</f>
        <v>6533778.2399999993</v>
      </c>
      <c r="L21" s="203">
        <f t="shared" si="3"/>
        <v>154454.40000000037</v>
      </c>
      <c r="M21" s="204">
        <f t="shared" ref="M21:M84" si="7">G21/$G$212*$M$14</f>
        <v>4929.1824114071023</v>
      </c>
      <c r="N21" s="205">
        <f t="shared" ref="N21:N84" si="8">SUM(L21:M21)</f>
        <v>159383.58241140746</v>
      </c>
      <c r="O21" s="204">
        <v>0</v>
      </c>
      <c r="P21" s="204">
        <v>0</v>
      </c>
      <c r="Q21" s="204">
        <v>0</v>
      </c>
      <c r="R21" s="205">
        <f t="shared" ref="R21:R84" si="9">+N21-Q21</f>
        <v>159383.58241140746</v>
      </c>
    </row>
    <row r="22" spans="1:18" x14ac:dyDescent="0.2">
      <c r="A22" s="161">
        <v>3</v>
      </c>
      <c r="B22" s="196">
        <f t="shared" si="4"/>
        <v>44256</v>
      </c>
      <c r="C22" s="197">
        <v>44291</v>
      </c>
      <c r="D22" s="197">
        <v>44312</v>
      </c>
      <c r="E22" s="206" t="s">
        <v>21</v>
      </c>
      <c r="F22" s="236">
        <v>9</v>
      </c>
      <c r="G22" s="199">
        <v>2203</v>
      </c>
      <c r="H22" s="200">
        <f t="shared" si="5"/>
        <v>2195.4899999999998</v>
      </c>
      <c r="I22" s="200">
        <f t="shared" si="1"/>
        <v>2247.39</v>
      </c>
      <c r="J22" s="201">
        <f t="shared" si="2"/>
        <v>4951000.17</v>
      </c>
      <c r="K22" s="202">
        <f t="shared" si="6"/>
        <v>4836664.47</v>
      </c>
      <c r="L22" s="203">
        <f t="shared" si="3"/>
        <v>114335.70000000019</v>
      </c>
      <c r="M22" s="204">
        <f t="shared" si="7"/>
        <v>3648.853781024814</v>
      </c>
      <c r="N22" s="205">
        <f t="shared" si="8"/>
        <v>117984.553781025</v>
      </c>
      <c r="O22" s="204">
        <v>0</v>
      </c>
      <c r="P22" s="204">
        <v>0</v>
      </c>
      <c r="Q22" s="204">
        <v>0</v>
      </c>
      <c r="R22" s="205">
        <f t="shared" si="9"/>
        <v>117984.553781025</v>
      </c>
    </row>
    <row r="23" spans="1:18" x14ac:dyDescent="0.2">
      <c r="A23" s="124">
        <v>4</v>
      </c>
      <c r="B23" s="196">
        <f t="shared" si="4"/>
        <v>44287</v>
      </c>
      <c r="C23" s="197">
        <v>44321</v>
      </c>
      <c r="D23" s="197">
        <v>44340</v>
      </c>
      <c r="E23" s="206" t="s">
        <v>21</v>
      </c>
      <c r="F23" s="236">
        <v>9</v>
      </c>
      <c r="G23" s="199">
        <v>2146</v>
      </c>
      <c r="H23" s="200">
        <f t="shared" si="5"/>
        <v>2195.4899999999998</v>
      </c>
      <c r="I23" s="200">
        <f t="shared" si="1"/>
        <v>2247.39</v>
      </c>
      <c r="J23" s="201">
        <f t="shared" si="2"/>
        <v>4822898.9399999995</v>
      </c>
      <c r="K23" s="202">
        <f t="shared" si="6"/>
        <v>4711521.5399999991</v>
      </c>
      <c r="L23" s="203">
        <f t="shared" si="3"/>
        <v>111377.40000000037</v>
      </c>
      <c r="M23" s="204">
        <f t="shared" si="7"/>
        <v>3554.4440372579443</v>
      </c>
      <c r="N23" s="205">
        <f t="shared" si="8"/>
        <v>114931.84403725831</v>
      </c>
      <c r="O23" s="204">
        <v>0</v>
      </c>
      <c r="P23" s="204">
        <v>0</v>
      </c>
      <c r="Q23" s="204">
        <v>0</v>
      </c>
      <c r="R23" s="205">
        <f t="shared" si="9"/>
        <v>114931.84403725831</v>
      </c>
    </row>
    <row r="24" spans="1:18" ht="12" customHeight="1" x14ac:dyDescent="0.2">
      <c r="A24" s="161">
        <v>5</v>
      </c>
      <c r="B24" s="196">
        <f t="shared" si="4"/>
        <v>44317</v>
      </c>
      <c r="C24" s="197">
        <v>44350</v>
      </c>
      <c r="D24" s="197">
        <v>44371</v>
      </c>
      <c r="E24" s="54" t="s">
        <v>21</v>
      </c>
      <c r="F24" s="236">
        <v>9</v>
      </c>
      <c r="G24" s="199">
        <v>2961</v>
      </c>
      <c r="H24" s="200">
        <f t="shared" si="5"/>
        <v>2195.4899999999998</v>
      </c>
      <c r="I24" s="200">
        <f t="shared" si="1"/>
        <v>2247.39</v>
      </c>
      <c r="J24" s="201">
        <f t="shared" si="2"/>
        <v>6654521.79</v>
      </c>
      <c r="K24" s="202">
        <f t="shared" si="6"/>
        <v>6500845.8899999997</v>
      </c>
      <c r="L24" s="203">
        <f t="shared" si="3"/>
        <v>153675.90000000037</v>
      </c>
      <c r="M24" s="204">
        <f t="shared" si="7"/>
        <v>4904.3377419947683</v>
      </c>
      <c r="N24" s="205">
        <f t="shared" si="8"/>
        <v>158580.23774199514</v>
      </c>
      <c r="O24" s="204">
        <v>0</v>
      </c>
      <c r="P24" s="204">
        <v>0</v>
      </c>
      <c r="Q24" s="204">
        <v>0</v>
      </c>
      <c r="R24" s="205">
        <f t="shared" si="9"/>
        <v>158580.23774199514</v>
      </c>
    </row>
    <row r="25" spans="1:18" x14ac:dyDescent="0.2">
      <c r="A25" s="161">
        <v>6</v>
      </c>
      <c r="B25" s="196">
        <f t="shared" si="4"/>
        <v>44348</v>
      </c>
      <c r="C25" s="197">
        <v>44383</v>
      </c>
      <c r="D25" s="197">
        <v>44401</v>
      </c>
      <c r="E25" s="54" t="s">
        <v>21</v>
      </c>
      <c r="F25" s="236">
        <v>9</v>
      </c>
      <c r="G25" s="199">
        <v>3827</v>
      </c>
      <c r="H25" s="200">
        <f t="shared" si="5"/>
        <v>2195.4899999999998</v>
      </c>
      <c r="I25" s="200">
        <f t="shared" si="1"/>
        <v>2247.39</v>
      </c>
      <c r="J25" s="201">
        <f t="shared" si="2"/>
        <v>8600761.5299999993</v>
      </c>
      <c r="K25" s="202">
        <f t="shared" si="6"/>
        <v>8402140.2299999986</v>
      </c>
      <c r="L25" s="207">
        <f t="shared" si="3"/>
        <v>198621.30000000075</v>
      </c>
      <c r="M25" s="204">
        <f t="shared" si="7"/>
        <v>6338.7033227335287</v>
      </c>
      <c r="N25" s="205">
        <f t="shared" si="8"/>
        <v>204960.00332273426</v>
      </c>
      <c r="O25" s="204">
        <v>0</v>
      </c>
      <c r="P25" s="204">
        <v>0</v>
      </c>
      <c r="Q25" s="204">
        <v>0</v>
      </c>
      <c r="R25" s="205">
        <f t="shared" si="9"/>
        <v>204960.00332273426</v>
      </c>
    </row>
    <row r="26" spans="1:18" x14ac:dyDescent="0.2">
      <c r="A26" s="124">
        <v>7</v>
      </c>
      <c r="B26" s="196">
        <f t="shared" si="4"/>
        <v>44378</v>
      </c>
      <c r="C26" s="197">
        <v>44412</v>
      </c>
      <c r="D26" s="197">
        <v>44432</v>
      </c>
      <c r="E26" s="54" t="s">
        <v>21</v>
      </c>
      <c r="F26" s="236">
        <v>9</v>
      </c>
      <c r="G26" s="199">
        <v>3938</v>
      </c>
      <c r="H26" s="200">
        <f t="shared" si="5"/>
        <v>2195.4899999999998</v>
      </c>
      <c r="I26" s="200">
        <f t="shared" si="1"/>
        <v>2247.39</v>
      </c>
      <c r="J26" s="201">
        <f t="shared" si="2"/>
        <v>8850221.8200000003</v>
      </c>
      <c r="K26" s="208">
        <f t="shared" si="6"/>
        <v>8645839.6199999992</v>
      </c>
      <c r="L26" s="207">
        <f t="shared" si="3"/>
        <v>204382.20000000112</v>
      </c>
      <c r="M26" s="204">
        <f t="shared" si="7"/>
        <v>6522.5538763848008</v>
      </c>
      <c r="N26" s="205">
        <f t="shared" si="8"/>
        <v>210904.75387638592</v>
      </c>
      <c r="O26" s="204">
        <v>0</v>
      </c>
      <c r="P26" s="204">
        <v>0</v>
      </c>
      <c r="Q26" s="204">
        <v>0</v>
      </c>
      <c r="R26" s="205">
        <f t="shared" si="9"/>
        <v>210904.75387638592</v>
      </c>
    </row>
    <row r="27" spans="1:18" x14ac:dyDescent="0.2">
      <c r="A27" s="161">
        <v>8</v>
      </c>
      <c r="B27" s="196">
        <f t="shared" si="4"/>
        <v>44409</v>
      </c>
      <c r="C27" s="197">
        <v>44442</v>
      </c>
      <c r="D27" s="197">
        <v>44463</v>
      </c>
      <c r="E27" s="54" t="s">
        <v>21</v>
      </c>
      <c r="F27" s="236">
        <v>9</v>
      </c>
      <c r="G27" s="199">
        <v>4002</v>
      </c>
      <c r="H27" s="200">
        <f t="shared" si="5"/>
        <v>2195.4899999999998</v>
      </c>
      <c r="I27" s="200">
        <f t="shared" si="1"/>
        <v>2247.39</v>
      </c>
      <c r="J27" s="201">
        <f t="shared" si="2"/>
        <v>8994054.7799999993</v>
      </c>
      <c r="K27" s="208">
        <f t="shared" si="6"/>
        <v>8786350.9799999986</v>
      </c>
      <c r="L27" s="207">
        <f t="shared" si="3"/>
        <v>207703.80000000075</v>
      </c>
      <c r="M27" s="204">
        <f t="shared" si="7"/>
        <v>6628.5577992107601</v>
      </c>
      <c r="N27" s="205">
        <f t="shared" si="8"/>
        <v>214332.35779921152</v>
      </c>
      <c r="O27" s="204">
        <v>0</v>
      </c>
      <c r="P27" s="204">
        <v>0</v>
      </c>
      <c r="Q27" s="204">
        <v>0</v>
      </c>
      <c r="R27" s="205">
        <f t="shared" si="9"/>
        <v>214332.35779921152</v>
      </c>
    </row>
    <row r="28" spans="1:18" x14ac:dyDescent="0.2">
      <c r="A28" s="161">
        <v>9</v>
      </c>
      <c r="B28" s="196">
        <f t="shared" si="4"/>
        <v>44440</v>
      </c>
      <c r="C28" s="197">
        <v>44474</v>
      </c>
      <c r="D28" s="197">
        <v>44494</v>
      </c>
      <c r="E28" s="54" t="s">
        <v>21</v>
      </c>
      <c r="F28" s="236">
        <v>9</v>
      </c>
      <c r="G28" s="199">
        <v>4029</v>
      </c>
      <c r="H28" s="200">
        <f t="shared" si="5"/>
        <v>2195.4899999999998</v>
      </c>
      <c r="I28" s="200">
        <f t="shared" si="1"/>
        <v>2247.39</v>
      </c>
      <c r="J28" s="201">
        <f t="shared" si="2"/>
        <v>9054734.3099999987</v>
      </c>
      <c r="K28" s="208">
        <f t="shared" si="6"/>
        <v>8845629.209999999</v>
      </c>
      <c r="L28" s="207">
        <f t="shared" si="3"/>
        <v>209105.09999999963</v>
      </c>
      <c r="M28" s="204">
        <f t="shared" si="7"/>
        <v>6673.2782041529626</v>
      </c>
      <c r="N28" s="205">
        <f t="shared" si="8"/>
        <v>215778.3782041526</v>
      </c>
      <c r="O28" s="204">
        <v>0</v>
      </c>
      <c r="P28" s="204">
        <v>0</v>
      </c>
      <c r="Q28" s="204">
        <v>0</v>
      </c>
      <c r="R28" s="205">
        <f t="shared" si="9"/>
        <v>215778.3782041526</v>
      </c>
    </row>
    <row r="29" spans="1:18" x14ac:dyDescent="0.2">
      <c r="A29" s="124">
        <v>10</v>
      </c>
      <c r="B29" s="196">
        <f t="shared" si="4"/>
        <v>44470</v>
      </c>
      <c r="C29" s="197">
        <v>44503</v>
      </c>
      <c r="D29" s="197">
        <v>44524</v>
      </c>
      <c r="E29" s="54" t="s">
        <v>21</v>
      </c>
      <c r="F29" s="236">
        <v>9</v>
      </c>
      <c r="G29" s="199">
        <v>3123</v>
      </c>
      <c r="H29" s="200">
        <f t="shared" si="5"/>
        <v>2195.4899999999998</v>
      </c>
      <c r="I29" s="200">
        <f t="shared" si="1"/>
        <v>2247.39</v>
      </c>
      <c r="J29" s="201">
        <f t="shared" si="2"/>
        <v>7018598.9699999997</v>
      </c>
      <c r="K29" s="208">
        <f t="shared" si="6"/>
        <v>6856515.2699999996</v>
      </c>
      <c r="L29" s="207">
        <f t="shared" si="3"/>
        <v>162083.70000000019</v>
      </c>
      <c r="M29" s="204">
        <f t="shared" si="7"/>
        <v>5172.6601716479781</v>
      </c>
      <c r="N29" s="205">
        <f t="shared" si="8"/>
        <v>167256.36017164815</v>
      </c>
      <c r="O29" s="204">
        <v>0</v>
      </c>
      <c r="P29" s="204">
        <v>0</v>
      </c>
      <c r="Q29" s="204">
        <v>0</v>
      </c>
      <c r="R29" s="205">
        <f t="shared" si="9"/>
        <v>167256.36017164815</v>
      </c>
    </row>
    <row r="30" spans="1:18" x14ac:dyDescent="0.2">
      <c r="A30" s="161">
        <v>11</v>
      </c>
      <c r="B30" s="196">
        <f t="shared" si="4"/>
        <v>44501</v>
      </c>
      <c r="C30" s="197">
        <v>44533</v>
      </c>
      <c r="D30" s="197">
        <v>44557</v>
      </c>
      <c r="E30" s="54" t="s">
        <v>21</v>
      </c>
      <c r="F30" s="236">
        <v>9</v>
      </c>
      <c r="G30" s="199">
        <v>2263</v>
      </c>
      <c r="H30" s="200">
        <f t="shared" si="5"/>
        <v>2195.4899999999998</v>
      </c>
      <c r="I30" s="200">
        <f t="shared" si="1"/>
        <v>2247.39</v>
      </c>
      <c r="J30" s="201">
        <f t="shared" si="2"/>
        <v>5085843.5699999994</v>
      </c>
      <c r="K30" s="208">
        <f t="shared" si="6"/>
        <v>4968393.8699999992</v>
      </c>
      <c r="L30" s="207">
        <f t="shared" si="3"/>
        <v>117449.70000000019</v>
      </c>
      <c r="M30" s="204">
        <f t="shared" si="7"/>
        <v>3748.2324586741511</v>
      </c>
      <c r="N30" s="205">
        <f t="shared" si="8"/>
        <v>121197.93245867433</v>
      </c>
      <c r="O30" s="204">
        <v>0</v>
      </c>
      <c r="P30" s="204">
        <v>0</v>
      </c>
      <c r="Q30" s="204">
        <v>0</v>
      </c>
      <c r="R30" s="205">
        <f t="shared" si="9"/>
        <v>121197.93245867433</v>
      </c>
    </row>
    <row r="31" spans="1:18" x14ac:dyDescent="0.2">
      <c r="A31" s="161">
        <v>12</v>
      </c>
      <c r="B31" s="196">
        <f t="shared" si="4"/>
        <v>44531</v>
      </c>
      <c r="C31" s="209">
        <v>44566</v>
      </c>
      <c r="D31" s="210">
        <v>44585</v>
      </c>
      <c r="E31" s="54" t="s">
        <v>21</v>
      </c>
      <c r="F31" s="236">
        <v>9</v>
      </c>
      <c r="G31" s="211">
        <v>2379</v>
      </c>
      <c r="H31" s="212">
        <f t="shared" si="5"/>
        <v>2195.4899999999998</v>
      </c>
      <c r="I31" s="212">
        <f t="shared" si="1"/>
        <v>2247.39</v>
      </c>
      <c r="J31" s="213">
        <f t="shared" si="2"/>
        <v>5346540.8099999996</v>
      </c>
      <c r="K31" s="214">
        <f t="shared" si="6"/>
        <v>5223070.709999999</v>
      </c>
      <c r="L31" s="215">
        <f t="shared" si="3"/>
        <v>123470.10000000056</v>
      </c>
      <c r="M31" s="204">
        <f t="shared" si="7"/>
        <v>3940.3645687962016</v>
      </c>
      <c r="N31" s="205">
        <f t="shared" si="8"/>
        <v>127410.46456879676</v>
      </c>
      <c r="O31" s="204">
        <v>0</v>
      </c>
      <c r="P31" s="204">
        <v>0</v>
      </c>
      <c r="Q31" s="204">
        <v>0</v>
      </c>
      <c r="R31" s="205">
        <f t="shared" si="9"/>
        <v>127410.46456879676</v>
      </c>
    </row>
    <row r="32" spans="1:18" x14ac:dyDescent="0.2">
      <c r="A32" s="124">
        <v>1</v>
      </c>
      <c r="B32" s="216">
        <f t="shared" si="4"/>
        <v>44197</v>
      </c>
      <c r="C32" s="217">
        <f t="shared" ref="C32:D43" si="10">+C20</f>
        <v>44230</v>
      </c>
      <c r="D32" s="217">
        <f t="shared" si="10"/>
        <v>44251</v>
      </c>
      <c r="E32" s="218" t="s">
        <v>22</v>
      </c>
      <c r="F32" s="237">
        <v>9</v>
      </c>
      <c r="G32" s="199">
        <v>2771</v>
      </c>
      <c r="H32" s="200">
        <f t="shared" si="5"/>
        <v>2195.4899999999998</v>
      </c>
      <c r="I32" s="200">
        <f t="shared" si="1"/>
        <v>2247.39</v>
      </c>
      <c r="J32" s="201">
        <f t="shared" si="2"/>
        <v>6227517.6899999995</v>
      </c>
      <c r="K32" s="202">
        <f t="shared" si="6"/>
        <v>6083702.7899999991</v>
      </c>
      <c r="L32" s="203">
        <f t="shared" si="3"/>
        <v>143814.90000000037</v>
      </c>
      <c r="M32" s="204">
        <f t="shared" si="7"/>
        <v>4589.6385961052019</v>
      </c>
      <c r="N32" s="205">
        <f t="shared" si="8"/>
        <v>148404.53859610559</v>
      </c>
      <c r="O32" s="204">
        <v>0</v>
      </c>
      <c r="P32" s="204">
        <v>0</v>
      </c>
      <c r="Q32" s="204">
        <v>0</v>
      </c>
      <c r="R32" s="205">
        <f t="shared" si="9"/>
        <v>148404.53859610559</v>
      </c>
    </row>
    <row r="33" spans="1:18" x14ac:dyDescent="0.2">
      <c r="A33" s="161">
        <v>2</v>
      </c>
      <c r="B33" s="196">
        <f t="shared" si="4"/>
        <v>44228</v>
      </c>
      <c r="C33" s="219">
        <f t="shared" si="10"/>
        <v>44258</v>
      </c>
      <c r="D33" s="219">
        <f t="shared" si="10"/>
        <v>44279</v>
      </c>
      <c r="E33" s="206" t="s">
        <v>22</v>
      </c>
      <c r="F33" s="236">
        <v>9</v>
      </c>
      <c r="G33" s="199">
        <v>3136</v>
      </c>
      <c r="H33" s="200">
        <f t="shared" si="5"/>
        <v>2195.4899999999998</v>
      </c>
      <c r="I33" s="200">
        <f t="shared" si="1"/>
        <v>2247.39</v>
      </c>
      <c r="J33" s="201">
        <f t="shared" si="2"/>
        <v>7047815.04</v>
      </c>
      <c r="K33" s="202">
        <f t="shared" si="6"/>
        <v>6885056.6399999997</v>
      </c>
      <c r="L33" s="203">
        <f t="shared" si="3"/>
        <v>162758.40000000037</v>
      </c>
      <c r="M33" s="204">
        <f t="shared" si="7"/>
        <v>5194.1922184720006</v>
      </c>
      <c r="N33" s="205">
        <f t="shared" si="8"/>
        <v>167952.59221847236</v>
      </c>
      <c r="O33" s="204">
        <v>0</v>
      </c>
      <c r="P33" s="204">
        <v>0</v>
      </c>
      <c r="Q33" s="204">
        <v>0</v>
      </c>
      <c r="R33" s="205">
        <f t="shared" si="9"/>
        <v>167952.59221847236</v>
      </c>
    </row>
    <row r="34" spans="1:18" x14ac:dyDescent="0.2">
      <c r="A34" s="161">
        <v>3</v>
      </c>
      <c r="B34" s="196">
        <f t="shared" si="4"/>
        <v>44256</v>
      </c>
      <c r="C34" s="219">
        <f t="shared" si="10"/>
        <v>44291</v>
      </c>
      <c r="D34" s="219">
        <f t="shared" si="10"/>
        <v>44312</v>
      </c>
      <c r="E34" s="206" t="s">
        <v>22</v>
      </c>
      <c r="F34" s="236">
        <v>9</v>
      </c>
      <c r="G34" s="199">
        <v>2339</v>
      </c>
      <c r="H34" s="200">
        <f t="shared" si="5"/>
        <v>2195.4899999999998</v>
      </c>
      <c r="I34" s="200">
        <f t="shared" si="1"/>
        <v>2247.39</v>
      </c>
      <c r="J34" s="201">
        <f t="shared" si="2"/>
        <v>5256645.21</v>
      </c>
      <c r="K34" s="202">
        <f t="shared" ref="K34:K93" si="11">+$G34*H34</f>
        <v>5135251.1099999994</v>
      </c>
      <c r="L34" s="203">
        <f t="shared" si="3"/>
        <v>121394.10000000056</v>
      </c>
      <c r="M34" s="204">
        <f t="shared" si="7"/>
        <v>3874.1121170299771</v>
      </c>
      <c r="N34" s="205">
        <f t="shared" si="8"/>
        <v>125268.21211703053</v>
      </c>
      <c r="O34" s="204">
        <v>0</v>
      </c>
      <c r="P34" s="204">
        <v>0</v>
      </c>
      <c r="Q34" s="204">
        <v>0</v>
      </c>
      <c r="R34" s="205">
        <f t="shared" si="9"/>
        <v>125268.21211703053</v>
      </c>
    </row>
    <row r="35" spans="1:18" x14ac:dyDescent="0.2">
      <c r="A35" s="124">
        <v>4</v>
      </c>
      <c r="B35" s="196">
        <f t="shared" si="4"/>
        <v>44287</v>
      </c>
      <c r="C35" s="219">
        <f t="shared" si="10"/>
        <v>44321</v>
      </c>
      <c r="D35" s="219">
        <f t="shared" si="10"/>
        <v>44340</v>
      </c>
      <c r="E35" s="206" t="s">
        <v>22</v>
      </c>
      <c r="F35" s="236">
        <v>9</v>
      </c>
      <c r="G35" s="199">
        <v>2394</v>
      </c>
      <c r="H35" s="200">
        <f t="shared" si="5"/>
        <v>2195.4899999999998</v>
      </c>
      <c r="I35" s="200">
        <f t="shared" si="1"/>
        <v>2247.39</v>
      </c>
      <c r="J35" s="201">
        <f t="shared" si="2"/>
        <v>5380251.6600000001</v>
      </c>
      <c r="K35" s="202">
        <f t="shared" si="11"/>
        <v>5256003.0599999996</v>
      </c>
      <c r="L35" s="203">
        <f t="shared" ref="L35:L57" si="12">+J35-K35</f>
        <v>124248.60000000056</v>
      </c>
      <c r="M35" s="204">
        <f t="shared" si="7"/>
        <v>3965.2092382085361</v>
      </c>
      <c r="N35" s="205">
        <f t="shared" si="8"/>
        <v>128213.8092382091</v>
      </c>
      <c r="O35" s="204">
        <v>0</v>
      </c>
      <c r="P35" s="204">
        <v>0</v>
      </c>
      <c r="Q35" s="204">
        <v>0</v>
      </c>
      <c r="R35" s="205">
        <f t="shared" si="9"/>
        <v>128213.8092382091</v>
      </c>
    </row>
    <row r="36" spans="1:18" x14ac:dyDescent="0.2">
      <c r="A36" s="161">
        <v>5</v>
      </c>
      <c r="B36" s="196">
        <f t="shared" si="4"/>
        <v>44317</v>
      </c>
      <c r="C36" s="219">
        <f t="shared" si="10"/>
        <v>44350</v>
      </c>
      <c r="D36" s="219">
        <f t="shared" si="10"/>
        <v>44371</v>
      </c>
      <c r="E36" s="54" t="s">
        <v>22</v>
      </c>
      <c r="F36" s="236">
        <v>9</v>
      </c>
      <c r="G36" s="199">
        <v>2807</v>
      </c>
      <c r="H36" s="200">
        <f t="shared" si="5"/>
        <v>2195.4899999999998</v>
      </c>
      <c r="I36" s="200">
        <f t="shared" si="1"/>
        <v>2247.39</v>
      </c>
      <c r="J36" s="201">
        <f t="shared" si="2"/>
        <v>6308423.7299999995</v>
      </c>
      <c r="K36" s="202">
        <f t="shared" si="11"/>
        <v>6162740.4299999997</v>
      </c>
      <c r="L36" s="203">
        <f t="shared" si="12"/>
        <v>145683.29999999981</v>
      </c>
      <c r="M36" s="204">
        <f t="shared" si="7"/>
        <v>4649.2658026948038</v>
      </c>
      <c r="N36" s="205">
        <f t="shared" si="8"/>
        <v>150332.56580269462</v>
      </c>
      <c r="O36" s="204">
        <v>0</v>
      </c>
      <c r="P36" s="204">
        <v>0</v>
      </c>
      <c r="Q36" s="204">
        <v>0</v>
      </c>
      <c r="R36" s="205">
        <f t="shared" si="9"/>
        <v>150332.56580269462</v>
      </c>
    </row>
    <row r="37" spans="1:18" x14ac:dyDescent="0.2">
      <c r="A37" s="161">
        <v>6</v>
      </c>
      <c r="B37" s="196">
        <f t="shared" si="4"/>
        <v>44348</v>
      </c>
      <c r="C37" s="219">
        <f t="shared" si="10"/>
        <v>44383</v>
      </c>
      <c r="D37" s="219">
        <f t="shared" si="10"/>
        <v>44401</v>
      </c>
      <c r="E37" s="54" t="s">
        <v>22</v>
      </c>
      <c r="F37" s="236">
        <v>9</v>
      </c>
      <c r="G37" s="199">
        <v>3345</v>
      </c>
      <c r="H37" s="200">
        <f t="shared" si="5"/>
        <v>2195.4899999999998</v>
      </c>
      <c r="I37" s="200">
        <f t="shared" si="1"/>
        <v>2247.39</v>
      </c>
      <c r="J37" s="201">
        <f t="shared" si="2"/>
        <v>7517519.5499999998</v>
      </c>
      <c r="K37" s="202">
        <f t="shared" si="11"/>
        <v>7343914.0499999989</v>
      </c>
      <c r="L37" s="207">
        <f t="shared" si="12"/>
        <v>173605.50000000093</v>
      </c>
      <c r="M37" s="204">
        <f t="shared" si="7"/>
        <v>5540.3612789505241</v>
      </c>
      <c r="N37" s="205">
        <f t="shared" si="8"/>
        <v>179145.86127895146</v>
      </c>
      <c r="O37" s="204">
        <v>0</v>
      </c>
      <c r="P37" s="204">
        <v>0</v>
      </c>
      <c r="Q37" s="204">
        <v>0</v>
      </c>
      <c r="R37" s="205">
        <f t="shared" si="9"/>
        <v>179145.86127895146</v>
      </c>
    </row>
    <row r="38" spans="1:18" x14ac:dyDescent="0.2">
      <c r="A38" s="124">
        <v>7</v>
      </c>
      <c r="B38" s="196">
        <f t="shared" si="4"/>
        <v>44378</v>
      </c>
      <c r="C38" s="219">
        <f t="shared" si="10"/>
        <v>44412</v>
      </c>
      <c r="D38" s="219">
        <f t="shared" si="10"/>
        <v>44432</v>
      </c>
      <c r="E38" s="54" t="s">
        <v>22</v>
      </c>
      <c r="F38" s="236">
        <v>9</v>
      </c>
      <c r="G38" s="199">
        <v>3525</v>
      </c>
      <c r="H38" s="200">
        <f t="shared" si="5"/>
        <v>2195.4899999999998</v>
      </c>
      <c r="I38" s="200">
        <f t="shared" si="1"/>
        <v>2247.39</v>
      </c>
      <c r="J38" s="201">
        <f t="shared" si="2"/>
        <v>7922049.75</v>
      </c>
      <c r="K38" s="208">
        <f t="shared" si="11"/>
        <v>7739102.2499999991</v>
      </c>
      <c r="L38" s="207">
        <f t="shared" si="12"/>
        <v>182947.50000000093</v>
      </c>
      <c r="M38" s="204">
        <f t="shared" si="7"/>
        <v>5838.4973118985336</v>
      </c>
      <c r="N38" s="205">
        <f t="shared" si="8"/>
        <v>188785.99731189947</v>
      </c>
      <c r="O38" s="204">
        <v>0</v>
      </c>
      <c r="P38" s="204">
        <v>0</v>
      </c>
      <c r="Q38" s="204">
        <v>0</v>
      </c>
      <c r="R38" s="205">
        <f t="shared" si="9"/>
        <v>188785.99731189947</v>
      </c>
    </row>
    <row r="39" spans="1:18" x14ac:dyDescent="0.2">
      <c r="A39" s="161">
        <v>8</v>
      </c>
      <c r="B39" s="196">
        <f t="shared" si="4"/>
        <v>44409</v>
      </c>
      <c r="C39" s="219">
        <f t="shared" si="10"/>
        <v>44442</v>
      </c>
      <c r="D39" s="219">
        <f t="shared" si="10"/>
        <v>44463</v>
      </c>
      <c r="E39" s="54" t="s">
        <v>22</v>
      </c>
      <c r="F39" s="236">
        <v>9</v>
      </c>
      <c r="G39" s="199">
        <v>3514</v>
      </c>
      <c r="H39" s="200">
        <f t="shared" si="5"/>
        <v>2195.4899999999998</v>
      </c>
      <c r="I39" s="200">
        <f t="shared" si="1"/>
        <v>2247.39</v>
      </c>
      <c r="J39" s="201">
        <f t="shared" si="2"/>
        <v>7897328.46</v>
      </c>
      <c r="K39" s="208">
        <f t="shared" si="11"/>
        <v>7714951.8599999994</v>
      </c>
      <c r="L39" s="207">
        <f t="shared" si="12"/>
        <v>182376.60000000056</v>
      </c>
      <c r="M39" s="204">
        <f t="shared" si="7"/>
        <v>5820.2778876628217</v>
      </c>
      <c r="N39" s="205">
        <f t="shared" si="8"/>
        <v>188196.87788766337</v>
      </c>
      <c r="O39" s="204">
        <v>0</v>
      </c>
      <c r="P39" s="204">
        <v>0</v>
      </c>
      <c r="Q39" s="204">
        <v>0</v>
      </c>
      <c r="R39" s="205">
        <f t="shared" si="9"/>
        <v>188196.87788766337</v>
      </c>
    </row>
    <row r="40" spans="1:18" x14ac:dyDescent="0.2">
      <c r="A40" s="161">
        <v>9</v>
      </c>
      <c r="B40" s="196">
        <f t="shared" si="4"/>
        <v>44440</v>
      </c>
      <c r="C40" s="219">
        <f t="shared" si="10"/>
        <v>44474</v>
      </c>
      <c r="D40" s="219">
        <f t="shared" si="10"/>
        <v>44494</v>
      </c>
      <c r="E40" s="54" t="s">
        <v>22</v>
      </c>
      <c r="F40" s="236">
        <v>9</v>
      </c>
      <c r="G40" s="199">
        <v>3486</v>
      </c>
      <c r="H40" s="200">
        <f t="shared" si="5"/>
        <v>2195.4899999999998</v>
      </c>
      <c r="I40" s="200">
        <f t="shared" si="1"/>
        <v>2247.39</v>
      </c>
      <c r="J40" s="201">
        <f t="shared" si="2"/>
        <v>7834401.5399999991</v>
      </c>
      <c r="K40" s="208">
        <f t="shared" si="11"/>
        <v>7653478.1399999997</v>
      </c>
      <c r="L40" s="207">
        <f t="shared" si="12"/>
        <v>180923.39999999944</v>
      </c>
      <c r="M40" s="204">
        <f t="shared" si="7"/>
        <v>5773.9011714264652</v>
      </c>
      <c r="N40" s="205">
        <f t="shared" si="8"/>
        <v>186697.3011714259</v>
      </c>
      <c r="O40" s="204">
        <v>0</v>
      </c>
      <c r="P40" s="204">
        <v>0</v>
      </c>
      <c r="Q40" s="204">
        <v>0</v>
      </c>
      <c r="R40" s="205">
        <f t="shared" si="9"/>
        <v>186697.3011714259</v>
      </c>
    </row>
    <row r="41" spans="1:18" x14ac:dyDescent="0.2">
      <c r="A41" s="124">
        <v>10</v>
      </c>
      <c r="B41" s="196">
        <f t="shared" si="4"/>
        <v>44470</v>
      </c>
      <c r="C41" s="219">
        <f t="shared" si="10"/>
        <v>44503</v>
      </c>
      <c r="D41" s="219">
        <f t="shared" si="10"/>
        <v>44524</v>
      </c>
      <c r="E41" s="54" t="s">
        <v>22</v>
      </c>
      <c r="F41" s="236">
        <v>9</v>
      </c>
      <c r="G41" s="199">
        <v>2777</v>
      </c>
      <c r="H41" s="200">
        <f t="shared" si="5"/>
        <v>2195.4899999999998</v>
      </c>
      <c r="I41" s="200">
        <f t="shared" si="1"/>
        <v>2247.39</v>
      </c>
      <c r="J41" s="201">
        <f t="shared" si="2"/>
        <v>6241002.0299999993</v>
      </c>
      <c r="K41" s="208">
        <f t="shared" si="11"/>
        <v>6096875.7299999995</v>
      </c>
      <c r="L41" s="207">
        <f t="shared" si="12"/>
        <v>144126.29999999981</v>
      </c>
      <c r="M41" s="204">
        <f t="shared" si="7"/>
        <v>4599.5764638701357</v>
      </c>
      <c r="N41" s="205">
        <f t="shared" si="8"/>
        <v>148725.87646386994</v>
      </c>
      <c r="O41" s="204">
        <v>0</v>
      </c>
      <c r="P41" s="204">
        <v>0</v>
      </c>
      <c r="Q41" s="204">
        <v>0</v>
      </c>
      <c r="R41" s="205">
        <f t="shared" si="9"/>
        <v>148725.87646386994</v>
      </c>
    </row>
    <row r="42" spans="1:18" x14ac:dyDescent="0.2">
      <c r="A42" s="161">
        <v>11</v>
      </c>
      <c r="B42" s="196">
        <f t="shared" si="4"/>
        <v>44501</v>
      </c>
      <c r="C42" s="219">
        <f t="shared" si="10"/>
        <v>44533</v>
      </c>
      <c r="D42" s="219">
        <f t="shared" si="10"/>
        <v>44557</v>
      </c>
      <c r="E42" s="54" t="s">
        <v>22</v>
      </c>
      <c r="F42" s="236">
        <v>9</v>
      </c>
      <c r="G42" s="199">
        <v>2284</v>
      </c>
      <c r="H42" s="200">
        <f t="shared" si="5"/>
        <v>2195.4899999999998</v>
      </c>
      <c r="I42" s="200">
        <f t="shared" si="1"/>
        <v>2247.39</v>
      </c>
      <c r="J42" s="201">
        <f t="shared" si="2"/>
        <v>5133038.76</v>
      </c>
      <c r="K42" s="208">
        <f t="shared" si="11"/>
        <v>5014499.1599999992</v>
      </c>
      <c r="L42" s="207">
        <f t="shared" si="12"/>
        <v>118539.60000000056</v>
      </c>
      <c r="M42" s="204">
        <f t="shared" si="7"/>
        <v>3783.0149958514185</v>
      </c>
      <c r="N42" s="205">
        <f t="shared" si="8"/>
        <v>122322.61499585198</v>
      </c>
      <c r="O42" s="204">
        <v>0</v>
      </c>
      <c r="P42" s="204">
        <v>0</v>
      </c>
      <c r="Q42" s="204">
        <v>0</v>
      </c>
      <c r="R42" s="205">
        <f t="shared" si="9"/>
        <v>122322.61499585198</v>
      </c>
    </row>
    <row r="43" spans="1:18" x14ac:dyDescent="0.2">
      <c r="A43" s="161">
        <v>12</v>
      </c>
      <c r="B43" s="196">
        <f t="shared" si="4"/>
        <v>44531</v>
      </c>
      <c r="C43" s="219">
        <f t="shared" si="10"/>
        <v>44566</v>
      </c>
      <c r="D43" s="219">
        <f t="shared" si="10"/>
        <v>44585</v>
      </c>
      <c r="E43" s="54" t="s">
        <v>22</v>
      </c>
      <c r="F43" s="236">
        <v>9</v>
      </c>
      <c r="G43" s="211">
        <v>2425</v>
      </c>
      <c r="H43" s="212">
        <f t="shared" si="5"/>
        <v>2195.4899999999998</v>
      </c>
      <c r="I43" s="212">
        <f t="shared" si="1"/>
        <v>2247.39</v>
      </c>
      <c r="J43" s="213">
        <f t="shared" si="2"/>
        <v>5449920.75</v>
      </c>
      <c r="K43" s="214">
        <f t="shared" si="11"/>
        <v>5324063.2499999991</v>
      </c>
      <c r="L43" s="215">
        <f t="shared" si="12"/>
        <v>125857.50000000093</v>
      </c>
      <c r="M43" s="204">
        <f t="shared" si="7"/>
        <v>4016.55488832736</v>
      </c>
      <c r="N43" s="205">
        <f t="shared" si="8"/>
        <v>129874.05488832829</v>
      </c>
      <c r="O43" s="204">
        <v>0</v>
      </c>
      <c r="P43" s="204">
        <v>0</v>
      </c>
      <c r="Q43" s="204">
        <v>0</v>
      </c>
      <c r="R43" s="205">
        <f t="shared" si="9"/>
        <v>129874.05488832829</v>
      </c>
    </row>
    <row r="44" spans="1:18" x14ac:dyDescent="0.2">
      <c r="A44" s="124">
        <v>1</v>
      </c>
      <c r="B44" s="216">
        <f t="shared" ref="B44:B55" si="13">DATE($R$1,A44,1)</f>
        <v>44197</v>
      </c>
      <c r="C44" s="217">
        <f t="shared" ref="C44:D55" si="14">+C32</f>
        <v>44230</v>
      </c>
      <c r="D44" s="217">
        <f t="shared" si="14"/>
        <v>44251</v>
      </c>
      <c r="E44" s="218" t="s">
        <v>81</v>
      </c>
      <c r="F44" s="237">
        <v>9</v>
      </c>
      <c r="G44" s="199">
        <v>146</v>
      </c>
      <c r="H44" s="200">
        <f t="shared" si="5"/>
        <v>2195.4899999999998</v>
      </c>
      <c r="I44" s="200">
        <f t="shared" si="1"/>
        <v>2247.39</v>
      </c>
      <c r="J44" s="204">
        <f t="shared" ref="J44:J55" si="15">+$G44*I44</f>
        <v>328118.94</v>
      </c>
      <c r="K44" s="208">
        <f t="shared" ref="K44:K55" si="16">+$G44*H44</f>
        <v>320541.53999999998</v>
      </c>
      <c r="L44" s="207">
        <f t="shared" ref="L44:L55" si="17">+J44-K44</f>
        <v>7577.4000000000233</v>
      </c>
      <c r="M44" s="204">
        <f t="shared" si="7"/>
        <v>241.82144894671941</v>
      </c>
      <c r="N44" s="205">
        <f t="shared" si="8"/>
        <v>7819.2214489467424</v>
      </c>
      <c r="O44" s="204">
        <v>0</v>
      </c>
      <c r="P44" s="204">
        <v>0</v>
      </c>
      <c r="Q44" s="204">
        <v>0</v>
      </c>
      <c r="R44" s="205">
        <f t="shared" si="9"/>
        <v>7819.2214489467424</v>
      </c>
    </row>
    <row r="45" spans="1:18" x14ac:dyDescent="0.2">
      <c r="A45" s="161">
        <v>2</v>
      </c>
      <c r="B45" s="196">
        <f t="shared" si="13"/>
        <v>44228</v>
      </c>
      <c r="C45" s="219">
        <f t="shared" si="14"/>
        <v>44258</v>
      </c>
      <c r="D45" s="219">
        <f t="shared" si="14"/>
        <v>44279</v>
      </c>
      <c r="E45" s="206" t="s">
        <v>81</v>
      </c>
      <c r="F45" s="236">
        <v>9</v>
      </c>
      <c r="G45" s="199">
        <v>212</v>
      </c>
      <c r="H45" s="200">
        <f t="shared" si="5"/>
        <v>2195.4899999999998</v>
      </c>
      <c r="I45" s="200">
        <f t="shared" si="1"/>
        <v>2247.39</v>
      </c>
      <c r="J45" s="204">
        <f t="shared" si="15"/>
        <v>476446.68</v>
      </c>
      <c r="K45" s="208">
        <f t="shared" si="16"/>
        <v>465443.87999999995</v>
      </c>
      <c r="L45" s="207">
        <f t="shared" si="17"/>
        <v>11002.800000000047</v>
      </c>
      <c r="M45" s="204">
        <f t="shared" si="7"/>
        <v>351.13799436098986</v>
      </c>
      <c r="N45" s="205">
        <f t="shared" si="8"/>
        <v>11353.937994361037</v>
      </c>
      <c r="O45" s="204">
        <v>0</v>
      </c>
      <c r="P45" s="204">
        <v>0</v>
      </c>
      <c r="Q45" s="204">
        <v>0</v>
      </c>
      <c r="R45" s="205">
        <f t="shared" si="9"/>
        <v>11353.937994361037</v>
      </c>
    </row>
    <row r="46" spans="1:18" x14ac:dyDescent="0.2">
      <c r="A46" s="161">
        <v>3</v>
      </c>
      <c r="B46" s="196">
        <f t="shared" si="13"/>
        <v>44256</v>
      </c>
      <c r="C46" s="219">
        <f t="shared" si="14"/>
        <v>44291</v>
      </c>
      <c r="D46" s="219">
        <f t="shared" si="14"/>
        <v>44312</v>
      </c>
      <c r="E46" s="206" t="s">
        <v>81</v>
      </c>
      <c r="F46" s="236">
        <v>9</v>
      </c>
      <c r="G46" s="199">
        <v>125</v>
      </c>
      <c r="H46" s="200">
        <f t="shared" si="5"/>
        <v>2195.4899999999998</v>
      </c>
      <c r="I46" s="200">
        <f t="shared" si="1"/>
        <v>2247.39</v>
      </c>
      <c r="J46" s="204">
        <f t="shared" si="15"/>
        <v>280923.75</v>
      </c>
      <c r="K46" s="208">
        <f t="shared" si="16"/>
        <v>274436.25</v>
      </c>
      <c r="L46" s="207">
        <f t="shared" si="17"/>
        <v>6487.5</v>
      </c>
      <c r="M46" s="204">
        <f t="shared" si="7"/>
        <v>207.03891176945154</v>
      </c>
      <c r="N46" s="205">
        <f t="shared" si="8"/>
        <v>6694.5389117694513</v>
      </c>
      <c r="O46" s="204">
        <v>0</v>
      </c>
      <c r="P46" s="204">
        <v>0</v>
      </c>
      <c r="Q46" s="204">
        <v>0</v>
      </c>
      <c r="R46" s="205">
        <f t="shared" si="9"/>
        <v>6694.5389117694513</v>
      </c>
    </row>
    <row r="47" spans="1:18" x14ac:dyDescent="0.2">
      <c r="A47" s="124">
        <v>4</v>
      </c>
      <c r="B47" s="196">
        <f t="shared" si="13"/>
        <v>44287</v>
      </c>
      <c r="C47" s="219">
        <f t="shared" si="14"/>
        <v>44321</v>
      </c>
      <c r="D47" s="219">
        <f t="shared" si="14"/>
        <v>44340</v>
      </c>
      <c r="E47" s="206" t="s">
        <v>81</v>
      </c>
      <c r="F47" s="236">
        <v>9</v>
      </c>
      <c r="G47" s="199">
        <v>92</v>
      </c>
      <c r="H47" s="200">
        <f t="shared" si="5"/>
        <v>2195.4899999999998</v>
      </c>
      <c r="I47" s="200">
        <f t="shared" si="1"/>
        <v>2247.39</v>
      </c>
      <c r="J47" s="204">
        <f t="shared" si="15"/>
        <v>206759.87999999998</v>
      </c>
      <c r="K47" s="208">
        <f t="shared" si="16"/>
        <v>201985.08</v>
      </c>
      <c r="L47" s="207">
        <f t="shared" si="17"/>
        <v>4774.7999999999884</v>
      </c>
      <c r="M47" s="204">
        <f t="shared" si="7"/>
        <v>152.38063906231633</v>
      </c>
      <c r="N47" s="205">
        <f t="shared" si="8"/>
        <v>4927.1806390623051</v>
      </c>
      <c r="O47" s="204">
        <v>0</v>
      </c>
      <c r="P47" s="204">
        <v>0</v>
      </c>
      <c r="Q47" s="204">
        <v>0</v>
      </c>
      <c r="R47" s="205">
        <f t="shared" si="9"/>
        <v>4927.1806390623051</v>
      </c>
    </row>
    <row r="48" spans="1:18" x14ac:dyDescent="0.2">
      <c r="A48" s="161">
        <v>5</v>
      </c>
      <c r="B48" s="196">
        <f t="shared" si="13"/>
        <v>44317</v>
      </c>
      <c r="C48" s="219">
        <f t="shared" si="14"/>
        <v>44350</v>
      </c>
      <c r="D48" s="219">
        <f t="shared" si="14"/>
        <v>44371</v>
      </c>
      <c r="E48" s="206" t="s">
        <v>81</v>
      </c>
      <c r="F48" s="236">
        <v>9</v>
      </c>
      <c r="G48" s="199">
        <v>102</v>
      </c>
      <c r="H48" s="200">
        <f t="shared" si="5"/>
        <v>2195.4899999999998</v>
      </c>
      <c r="I48" s="200">
        <f t="shared" si="1"/>
        <v>2247.39</v>
      </c>
      <c r="J48" s="204">
        <f t="shared" si="15"/>
        <v>229233.78</v>
      </c>
      <c r="K48" s="208">
        <f t="shared" si="16"/>
        <v>223939.97999999998</v>
      </c>
      <c r="L48" s="207">
        <f t="shared" si="17"/>
        <v>5293.8000000000175</v>
      </c>
      <c r="M48" s="204">
        <f t="shared" si="7"/>
        <v>168.94375200387248</v>
      </c>
      <c r="N48" s="205">
        <f t="shared" si="8"/>
        <v>5462.7437520038902</v>
      </c>
      <c r="O48" s="204">
        <v>0</v>
      </c>
      <c r="P48" s="204">
        <v>0</v>
      </c>
      <c r="Q48" s="204">
        <v>0</v>
      </c>
      <c r="R48" s="205">
        <f t="shared" si="9"/>
        <v>5462.7437520038902</v>
      </c>
    </row>
    <row r="49" spans="1:18" x14ac:dyDescent="0.2">
      <c r="A49" s="161">
        <v>6</v>
      </c>
      <c r="B49" s="196">
        <f t="shared" si="13"/>
        <v>44348</v>
      </c>
      <c r="C49" s="219">
        <f t="shared" si="14"/>
        <v>44383</v>
      </c>
      <c r="D49" s="219">
        <f t="shared" si="14"/>
        <v>44401</v>
      </c>
      <c r="E49" s="206" t="s">
        <v>81</v>
      </c>
      <c r="F49" s="236">
        <v>9</v>
      </c>
      <c r="G49" s="199">
        <v>124</v>
      </c>
      <c r="H49" s="200">
        <f t="shared" si="5"/>
        <v>2195.4899999999998</v>
      </c>
      <c r="I49" s="200">
        <f t="shared" si="1"/>
        <v>2247.39</v>
      </c>
      <c r="J49" s="204">
        <f t="shared" si="15"/>
        <v>278676.36</v>
      </c>
      <c r="K49" s="208">
        <f t="shared" si="16"/>
        <v>272240.75999999995</v>
      </c>
      <c r="L49" s="207">
        <f t="shared" si="17"/>
        <v>6435.6000000000349</v>
      </c>
      <c r="M49" s="204">
        <f t="shared" si="7"/>
        <v>205.38260047529593</v>
      </c>
      <c r="N49" s="205">
        <f t="shared" si="8"/>
        <v>6640.9826004753304</v>
      </c>
      <c r="O49" s="204">
        <v>0</v>
      </c>
      <c r="P49" s="204">
        <v>0</v>
      </c>
      <c r="Q49" s="204">
        <v>0</v>
      </c>
      <c r="R49" s="205">
        <f t="shared" si="9"/>
        <v>6640.9826004753304</v>
      </c>
    </row>
    <row r="50" spans="1:18" x14ac:dyDescent="0.2">
      <c r="A50" s="124">
        <v>7</v>
      </c>
      <c r="B50" s="196">
        <f t="shared" si="13"/>
        <v>44378</v>
      </c>
      <c r="C50" s="219">
        <f t="shared" si="14"/>
        <v>44412</v>
      </c>
      <c r="D50" s="219">
        <f t="shared" si="14"/>
        <v>44432</v>
      </c>
      <c r="E50" s="206" t="s">
        <v>81</v>
      </c>
      <c r="F50" s="236">
        <v>9</v>
      </c>
      <c r="G50" s="199">
        <v>138</v>
      </c>
      <c r="H50" s="200">
        <f t="shared" si="5"/>
        <v>2195.4899999999998</v>
      </c>
      <c r="I50" s="200">
        <f t="shared" si="1"/>
        <v>2247.39</v>
      </c>
      <c r="J50" s="204">
        <f t="shared" si="15"/>
        <v>310139.82</v>
      </c>
      <c r="K50" s="208">
        <f t="shared" si="16"/>
        <v>302977.62</v>
      </c>
      <c r="L50" s="207">
        <f t="shared" si="17"/>
        <v>7162.2000000000116</v>
      </c>
      <c r="M50" s="204">
        <f t="shared" si="7"/>
        <v>228.57095859347453</v>
      </c>
      <c r="N50" s="205">
        <f t="shared" si="8"/>
        <v>7390.7709585934863</v>
      </c>
      <c r="O50" s="204">
        <v>0</v>
      </c>
      <c r="P50" s="204">
        <v>0</v>
      </c>
      <c r="Q50" s="204">
        <v>0</v>
      </c>
      <c r="R50" s="205">
        <f t="shared" si="9"/>
        <v>7390.7709585934863</v>
      </c>
    </row>
    <row r="51" spans="1:18" x14ac:dyDescent="0.2">
      <c r="A51" s="161">
        <v>8</v>
      </c>
      <c r="B51" s="196">
        <f t="shared" si="13"/>
        <v>44409</v>
      </c>
      <c r="C51" s="219">
        <f t="shared" si="14"/>
        <v>44442</v>
      </c>
      <c r="D51" s="219">
        <f t="shared" si="14"/>
        <v>44463</v>
      </c>
      <c r="E51" s="206" t="s">
        <v>81</v>
      </c>
      <c r="F51" s="236">
        <v>9</v>
      </c>
      <c r="G51" s="199">
        <v>140</v>
      </c>
      <c r="H51" s="200">
        <f t="shared" si="5"/>
        <v>2195.4899999999998</v>
      </c>
      <c r="I51" s="200">
        <f t="shared" si="1"/>
        <v>2247.39</v>
      </c>
      <c r="J51" s="204">
        <f t="shared" si="15"/>
        <v>314634.59999999998</v>
      </c>
      <c r="K51" s="208">
        <f t="shared" si="16"/>
        <v>307368.59999999998</v>
      </c>
      <c r="L51" s="207">
        <f t="shared" si="17"/>
        <v>7266</v>
      </c>
      <c r="M51" s="204">
        <f t="shared" si="7"/>
        <v>231.88358118178576</v>
      </c>
      <c r="N51" s="205">
        <f t="shared" si="8"/>
        <v>7497.8835811817862</v>
      </c>
      <c r="O51" s="204">
        <v>0</v>
      </c>
      <c r="P51" s="204">
        <v>0</v>
      </c>
      <c r="Q51" s="204">
        <v>0</v>
      </c>
      <c r="R51" s="205">
        <f t="shared" si="9"/>
        <v>7497.8835811817862</v>
      </c>
    </row>
    <row r="52" spans="1:18" x14ac:dyDescent="0.2">
      <c r="A52" s="161">
        <v>9</v>
      </c>
      <c r="B52" s="196">
        <f t="shared" si="13"/>
        <v>44440</v>
      </c>
      <c r="C52" s="219">
        <f t="shared" si="14"/>
        <v>44474</v>
      </c>
      <c r="D52" s="219">
        <f t="shared" si="14"/>
        <v>44494</v>
      </c>
      <c r="E52" s="206" t="s">
        <v>81</v>
      </c>
      <c r="F52" s="236">
        <v>9</v>
      </c>
      <c r="G52" s="199">
        <v>140</v>
      </c>
      <c r="H52" s="200">
        <f t="shared" si="5"/>
        <v>2195.4899999999998</v>
      </c>
      <c r="I52" s="200">
        <f t="shared" si="1"/>
        <v>2247.39</v>
      </c>
      <c r="J52" s="204">
        <f t="shared" si="15"/>
        <v>314634.59999999998</v>
      </c>
      <c r="K52" s="208">
        <f t="shared" si="16"/>
        <v>307368.59999999998</v>
      </c>
      <c r="L52" s="207">
        <f t="shared" si="17"/>
        <v>7266</v>
      </c>
      <c r="M52" s="204">
        <f t="shared" si="7"/>
        <v>231.88358118178576</v>
      </c>
      <c r="N52" s="205">
        <f t="shared" si="8"/>
        <v>7497.8835811817862</v>
      </c>
      <c r="O52" s="204">
        <v>0</v>
      </c>
      <c r="P52" s="204">
        <v>0</v>
      </c>
      <c r="Q52" s="204">
        <v>0</v>
      </c>
      <c r="R52" s="205">
        <f t="shared" si="9"/>
        <v>7497.8835811817862</v>
      </c>
    </row>
    <row r="53" spans="1:18" x14ac:dyDescent="0.2">
      <c r="A53" s="124">
        <v>10</v>
      </c>
      <c r="B53" s="196">
        <f t="shared" si="13"/>
        <v>44470</v>
      </c>
      <c r="C53" s="219">
        <f t="shared" si="14"/>
        <v>44503</v>
      </c>
      <c r="D53" s="219">
        <f t="shared" si="14"/>
        <v>44524</v>
      </c>
      <c r="E53" s="206" t="s">
        <v>81</v>
      </c>
      <c r="F53" s="236">
        <v>9</v>
      </c>
      <c r="G53" s="199">
        <v>106</v>
      </c>
      <c r="H53" s="200">
        <f t="shared" si="5"/>
        <v>2195.4899999999998</v>
      </c>
      <c r="I53" s="200">
        <f t="shared" si="1"/>
        <v>2247.39</v>
      </c>
      <c r="J53" s="204">
        <f t="shared" si="15"/>
        <v>238223.34</v>
      </c>
      <c r="K53" s="208">
        <f t="shared" si="16"/>
        <v>232721.93999999997</v>
      </c>
      <c r="L53" s="207">
        <f t="shared" si="17"/>
        <v>5501.4000000000233</v>
      </c>
      <c r="M53" s="204">
        <f t="shared" si="7"/>
        <v>175.56899718049493</v>
      </c>
      <c r="N53" s="205">
        <f t="shared" si="8"/>
        <v>5676.9689971805183</v>
      </c>
      <c r="O53" s="204">
        <v>0</v>
      </c>
      <c r="P53" s="204">
        <v>0</v>
      </c>
      <c r="Q53" s="204">
        <v>0</v>
      </c>
      <c r="R53" s="205">
        <f t="shared" si="9"/>
        <v>5676.9689971805183</v>
      </c>
    </row>
    <row r="54" spans="1:18" x14ac:dyDescent="0.2">
      <c r="A54" s="161">
        <v>11</v>
      </c>
      <c r="B54" s="196">
        <f t="shared" si="13"/>
        <v>44501</v>
      </c>
      <c r="C54" s="219">
        <f t="shared" si="14"/>
        <v>44533</v>
      </c>
      <c r="D54" s="219">
        <f t="shared" si="14"/>
        <v>44557</v>
      </c>
      <c r="E54" s="206" t="s">
        <v>81</v>
      </c>
      <c r="F54" s="236">
        <v>9</v>
      </c>
      <c r="G54" s="199">
        <v>107</v>
      </c>
      <c r="H54" s="200">
        <f t="shared" si="5"/>
        <v>2195.4899999999998</v>
      </c>
      <c r="I54" s="200">
        <f t="shared" si="1"/>
        <v>2247.39</v>
      </c>
      <c r="J54" s="204">
        <f t="shared" si="15"/>
        <v>240470.72999999998</v>
      </c>
      <c r="K54" s="208">
        <f t="shared" si="16"/>
        <v>234917.42999999996</v>
      </c>
      <c r="L54" s="207">
        <f t="shared" si="17"/>
        <v>5553.3000000000175</v>
      </c>
      <c r="M54" s="204">
        <f t="shared" si="7"/>
        <v>177.22530847465055</v>
      </c>
      <c r="N54" s="205">
        <f t="shared" si="8"/>
        <v>5730.5253084746682</v>
      </c>
      <c r="O54" s="204">
        <v>0</v>
      </c>
      <c r="P54" s="204">
        <v>0</v>
      </c>
      <c r="Q54" s="204">
        <v>0</v>
      </c>
      <c r="R54" s="205">
        <f t="shared" si="9"/>
        <v>5730.5253084746682</v>
      </c>
    </row>
    <row r="55" spans="1:18" x14ac:dyDescent="0.2">
      <c r="A55" s="161">
        <v>12</v>
      </c>
      <c r="B55" s="196">
        <f t="shared" si="13"/>
        <v>44531</v>
      </c>
      <c r="C55" s="219">
        <f t="shared" si="14"/>
        <v>44566</v>
      </c>
      <c r="D55" s="219">
        <f t="shared" si="14"/>
        <v>44585</v>
      </c>
      <c r="E55" s="206" t="s">
        <v>81</v>
      </c>
      <c r="F55" s="236">
        <v>9</v>
      </c>
      <c r="G55" s="211">
        <v>110</v>
      </c>
      <c r="H55" s="212">
        <f t="shared" si="5"/>
        <v>2195.4899999999998</v>
      </c>
      <c r="I55" s="212">
        <f t="shared" si="1"/>
        <v>2247.39</v>
      </c>
      <c r="J55" s="213">
        <f t="shared" si="15"/>
        <v>247212.9</v>
      </c>
      <c r="K55" s="214">
        <f t="shared" si="16"/>
        <v>241503.89999999997</v>
      </c>
      <c r="L55" s="215">
        <f t="shared" si="17"/>
        <v>5709.0000000000291</v>
      </c>
      <c r="M55" s="204">
        <f t="shared" si="7"/>
        <v>182.19424235711736</v>
      </c>
      <c r="N55" s="205">
        <f t="shared" si="8"/>
        <v>5891.1942423571463</v>
      </c>
      <c r="O55" s="204">
        <v>0</v>
      </c>
      <c r="P55" s="204">
        <v>0</v>
      </c>
      <c r="Q55" s="204">
        <v>0</v>
      </c>
      <c r="R55" s="205">
        <f t="shared" si="9"/>
        <v>5891.1942423571463</v>
      </c>
    </row>
    <row r="56" spans="1:18" s="220" customFormat="1" x14ac:dyDescent="0.2">
      <c r="A56" s="124">
        <v>1</v>
      </c>
      <c r="B56" s="216">
        <f t="shared" si="4"/>
        <v>44197</v>
      </c>
      <c r="C56" s="217">
        <f t="shared" ref="C56:D67" si="18">+C32</f>
        <v>44230</v>
      </c>
      <c r="D56" s="217">
        <f t="shared" si="18"/>
        <v>44251</v>
      </c>
      <c r="E56" s="218" t="s">
        <v>14</v>
      </c>
      <c r="F56" s="237">
        <v>9</v>
      </c>
      <c r="G56" s="199">
        <v>767</v>
      </c>
      <c r="H56" s="200">
        <f t="shared" si="5"/>
        <v>2195.4899999999998</v>
      </c>
      <c r="I56" s="200">
        <f t="shared" si="1"/>
        <v>2247.39</v>
      </c>
      <c r="J56" s="201">
        <f t="shared" si="2"/>
        <v>1723748.13</v>
      </c>
      <c r="K56" s="202">
        <f t="shared" si="11"/>
        <v>1683940.8299999998</v>
      </c>
      <c r="L56" s="203">
        <f t="shared" si="12"/>
        <v>39807.300000000047</v>
      </c>
      <c r="M56" s="204">
        <f t="shared" si="7"/>
        <v>1270.3907626173545</v>
      </c>
      <c r="N56" s="205">
        <f t="shared" si="8"/>
        <v>41077.6907626174</v>
      </c>
      <c r="O56" s="204">
        <v>0</v>
      </c>
      <c r="P56" s="204">
        <v>0</v>
      </c>
      <c r="Q56" s="204">
        <v>0</v>
      </c>
      <c r="R56" s="205">
        <f t="shared" si="9"/>
        <v>41077.6907626174</v>
      </c>
    </row>
    <row r="57" spans="1:18" x14ac:dyDescent="0.2">
      <c r="A57" s="161">
        <v>2</v>
      </c>
      <c r="B57" s="196">
        <f t="shared" si="4"/>
        <v>44228</v>
      </c>
      <c r="C57" s="219">
        <f t="shared" si="18"/>
        <v>44258</v>
      </c>
      <c r="D57" s="219">
        <f t="shared" si="18"/>
        <v>44279</v>
      </c>
      <c r="E57" s="206" t="s">
        <v>14</v>
      </c>
      <c r="F57" s="236">
        <v>9</v>
      </c>
      <c r="G57" s="199">
        <v>1062</v>
      </c>
      <c r="H57" s="200">
        <f t="shared" si="5"/>
        <v>2195.4899999999998</v>
      </c>
      <c r="I57" s="200">
        <f t="shared" si="1"/>
        <v>2247.39</v>
      </c>
      <c r="J57" s="201">
        <f t="shared" si="2"/>
        <v>2386728.1799999997</v>
      </c>
      <c r="K57" s="202">
        <f t="shared" si="11"/>
        <v>2331610.38</v>
      </c>
      <c r="L57" s="203">
        <f t="shared" si="12"/>
        <v>55117.799999999814</v>
      </c>
      <c r="M57" s="204">
        <f t="shared" si="7"/>
        <v>1759.0025943932603</v>
      </c>
      <c r="N57" s="205">
        <f t="shared" si="8"/>
        <v>56876.802594393077</v>
      </c>
      <c r="O57" s="204">
        <v>0</v>
      </c>
      <c r="P57" s="204">
        <v>0</v>
      </c>
      <c r="Q57" s="204">
        <v>0</v>
      </c>
      <c r="R57" s="205">
        <f t="shared" si="9"/>
        <v>56876.802594393077</v>
      </c>
    </row>
    <row r="58" spans="1:18" x14ac:dyDescent="0.2">
      <c r="A58" s="161">
        <v>3</v>
      </c>
      <c r="B58" s="196">
        <f t="shared" si="4"/>
        <v>44256</v>
      </c>
      <c r="C58" s="219">
        <f t="shared" si="18"/>
        <v>44291</v>
      </c>
      <c r="D58" s="219">
        <f t="shared" si="18"/>
        <v>44312</v>
      </c>
      <c r="E58" s="206" t="s">
        <v>14</v>
      </c>
      <c r="F58" s="236">
        <v>9</v>
      </c>
      <c r="G58" s="199">
        <v>599</v>
      </c>
      <c r="H58" s="200">
        <f t="shared" si="5"/>
        <v>2195.4899999999998</v>
      </c>
      <c r="I58" s="200">
        <f t="shared" si="1"/>
        <v>2247.39</v>
      </c>
      <c r="J58" s="201">
        <f t="shared" si="2"/>
        <v>1346186.6099999999</v>
      </c>
      <c r="K58" s="202">
        <f t="shared" si="11"/>
        <v>1315098.5099999998</v>
      </c>
      <c r="L58" s="203">
        <f>+J58-K58</f>
        <v>31088.100000000093</v>
      </c>
      <c r="M58" s="204">
        <f t="shared" si="7"/>
        <v>992.13046519921181</v>
      </c>
      <c r="N58" s="205">
        <f t="shared" si="8"/>
        <v>32080.230465199304</v>
      </c>
      <c r="O58" s="204">
        <v>0</v>
      </c>
      <c r="P58" s="204">
        <v>0</v>
      </c>
      <c r="Q58" s="204">
        <v>0</v>
      </c>
      <c r="R58" s="205">
        <f t="shared" si="9"/>
        <v>32080.230465199304</v>
      </c>
    </row>
    <row r="59" spans="1:18" x14ac:dyDescent="0.2">
      <c r="A59" s="124">
        <v>4</v>
      </c>
      <c r="B59" s="196">
        <f t="shared" si="4"/>
        <v>44287</v>
      </c>
      <c r="C59" s="219">
        <f t="shared" si="18"/>
        <v>44321</v>
      </c>
      <c r="D59" s="219">
        <f t="shared" si="18"/>
        <v>44340</v>
      </c>
      <c r="E59" s="206" t="s">
        <v>14</v>
      </c>
      <c r="F59" s="236">
        <v>9</v>
      </c>
      <c r="G59" s="199">
        <v>447</v>
      </c>
      <c r="H59" s="200">
        <f t="shared" si="5"/>
        <v>2195.4899999999998</v>
      </c>
      <c r="I59" s="200">
        <f t="shared" si="1"/>
        <v>2247.39</v>
      </c>
      <c r="J59" s="201">
        <f t="shared" si="2"/>
        <v>1004583.33</v>
      </c>
      <c r="K59" s="202">
        <f t="shared" si="11"/>
        <v>981384.02999999991</v>
      </c>
      <c r="L59" s="203">
        <f t="shared" ref="L59:L81" si="19">+J59-K59</f>
        <v>23199.300000000047</v>
      </c>
      <c r="M59" s="204">
        <f t="shared" si="7"/>
        <v>740.37114848755868</v>
      </c>
      <c r="N59" s="205">
        <f t="shared" si="8"/>
        <v>23939.671148487607</v>
      </c>
      <c r="O59" s="204">
        <v>0</v>
      </c>
      <c r="P59" s="204">
        <v>0</v>
      </c>
      <c r="Q59" s="204">
        <v>0</v>
      </c>
      <c r="R59" s="205">
        <f t="shared" si="9"/>
        <v>23939.671148487607</v>
      </c>
    </row>
    <row r="60" spans="1:18" x14ac:dyDescent="0.2">
      <c r="A60" s="161">
        <v>5</v>
      </c>
      <c r="B60" s="196">
        <f t="shared" si="4"/>
        <v>44317</v>
      </c>
      <c r="C60" s="219">
        <f t="shared" si="18"/>
        <v>44350</v>
      </c>
      <c r="D60" s="219">
        <f t="shared" si="18"/>
        <v>44371</v>
      </c>
      <c r="E60" s="54" t="s">
        <v>14</v>
      </c>
      <c r="F60" s="236">
        <v>9</v>
      </c>
      <c r="G60" s="199">
        <v>603</v>
      </c>
      <c r="H60" s="200">
        <f t="shared" si="5"/>
        <v>2195.4899999999998</v>
      </c>
      <c r="I60" s="200">
        <f t="shared" si="1"/>
        <v>2247.39</v>
      </c>
      <c r="J60" s="201">
        <f t="shared" si="2"/>
        <v>1355176.17</v>
      </c>
      <c r="K60" s="202">
        <f t="shared" si="11"/>
        <v>1323880.47</v>
      </c>
      <c r="L60" s="203">
        <f t="shared" si="19"/>
        <v>31295.699999999953</v>
      </c>
      <c r="M60" s="204">
        <f t="shared" si="7"/>
        <v>998.75571037583416</v>
      </c>
      <c r="N60" s="205">
        <f t="shared" si="8"/>
        <v>32294.455710375787</v>
      </c>
      <c r="O60" s="204">
        <v>0</v>
      </c>
      <c r="P60" s="204">
        <v>0</v>
      </c>
      <c r="Q60" s="204">
        <v>0</v>
      </c>
      <c r="R60" s="205">
        <f t="shared" si="9"/>
        <v>32294.455710375787</v>
      </c>
    </row>
    <row r="61" spans="1:18" x14ac:dyDescent="0.2">
      <c r="A61" s="161">
        <v>6</v>
      </c>
      <c r="B61" s="196">
        <f t="shared" si="4"/>
        <v>44348</v>
      </c>
      <c r="C61" s="219">
        <f t="shared" si="18"/>
        <v>44383</v>
      </c>
      <c r="D61" s="219">
        <f t="shared" si="18"/>
        <v>44401</v>
      </c>
      <c r="E61" s="54" t="s">
        <v>14</v>
      </c>
      <c r="F61" s="236">
        <v>9</v>
      </c>
      <c r="G61" s="199">
        <v>840</v>
      </c>
      <c r="H61" s="200">
        <f t="shared" si="5"/>
        <v>2195.4899999999998</v>
      </c>
      <c r="I61" s="200">
        <f t="shared" si="1"/>
        <v>2247.39</v>
      </c>
      <c r="J61" s="201">
        <f t="shared" si="2"/>
        <v>1887807.5999999999</v>
      </c>
      <c r="K61" s="202">
        <f t="shared" si="11"/>
        <v>1844211.5999999999</v>
      </c>
      <c r="L61" s="207">
        <f t="shared" si="19"/>
        <v>43596</v>
      </c>
      <c r="M61" s="204">
        <f t="shared" si="7"/>
        <v>1391.3014870907145</v>
      </c>
      <c r="N61" s="205">
        <f t="shared" si="8"/>
        <v>44987.301487090714</v>
      </c>
      <c r="O61" s="204">
        <v>0</v>
      </c>
      <c r="P61" s="204">
        <v>0</v>
      </c>
      <c r="Q61" s="204">
        <v>0</v>
      </c>
      <c r="R61" s="205">
        <f t="shared" si="9"/>
        <v>44987.301487090714</v>
      </c>
    </row>
    <row r="62" spans="1:18" x14ac:dyDescent="0.2">
      <c r="A62" s="124">
        <v>7</v>
      </c>
      <c r="B62" s="196">
        <f t="shared" si="4"/>
        <v>44378</v>
      </c>
      <c r="C62" s="219">
        <f t="shared" si="18"/>
        <v>44412</v>
      </c>
      <c r="D62" s="219">
        <f t="shared" si="18"/>
        <v>44432</v>
      </c>
      <c r="E62" s="54" t="s">
        <v>14</v>
      </c>
      <c r="F62" s="236">
        <v>9</v>
      </c>
      <c r="G62" s="199">
        <v>926</v>
      </c>
      <c r="H62" s="200">
        <f t="shared" si="5"/>
        <v>2195.4899999999998</v>
      </c>
      <c r="I62" s="200">
        <f t="shared" si="1"/>
        <v>2247.39</v>
      </c>
      <c r="J62" s="201">
        <f t="shared" si="2"/>
        <v>2081083.14</v>
      </c>
      <c r="K62" s="208">
        <f t="shared" si="11"/>
        <v>2033023.7399999998</v>
      </c>
      <c r="L62" s="207">
        <f t="shared" si="19"/>
        <v>48059.40000000014</v>
      </c>
      <c r="M62" s="204">
        <f t="shared" si="7"/>
        <v>1533.744258388097</v>
      </c>
      <c r="N62" s="205">
        <f t="shared" si="8"/>
        <v>49593.144258388238</v>
      </c>
      <c r="O62" s="204">
        <v>0</v>
      </c>
      <c r="P62" s="204">
        <v>0</v>
      </c>
      <c r="Q62" s="204">
        <v>0</v>
      </c>
      <c r="R62" s="205">
        <f t="shared" si="9"/>
        <v>49593.144258388238</v>
      </c>
    </row>
    <row r="63" spans="1:18" x14ac:dyDescent="0.2">
      <c r="A63" s="161">
        <v>8</v>
      </c>
      <c r="B63" s="196">
        <f t="shared" si="4"/>
        <v>44409</v>
      </c>
      <c r="C63" s="219">
        <f t="shared" si="18"/>
        <v>44442</v>
      </c>
      <c r="D63" s="219">
        <f t="shared" si="18"/>
        <v>44463</v>
      </c>
      <c r="E63" s="54" t="s">
        <v>14</v>
      </c>
      <c r="F63" s="236">
        <v>9</v>
      </c>
      <c r="G63" s="199">
        <v>943</v>
      </c>
      <c r="H63" s="200">
        <f t="shared" si="5"/>
        <v>2195.4899999999998</v>
      </c>
      <c r="I63" s="200">
        <f t="shared" si="1"/>
        <v>2247.39</v>
      </c>
      <c r="J63" s="201">
        <f t="shared" si="2"/>
        <v>2119288.77</v>
      </c>
      <c r="K63" s="208">
        <f t="shared" si="11"/>
        <v>2070347.0699999998</v>
      </c>
      <c r="L63" s="207">
        <f t="shared" si="19"/>
        <v>48941.700000000186</v>
      </c>
      <c r="M63" s="204">
        <f t="shared" si="7"/>
        <v>1561.9015503887426</v>
      </c>
      <c r="N63" s="205">
        <f t="shared" si="8"/>
        <v>50503.601550388928</v>
      </c>
      <c r="O63" s="204">
        <v>0</v>
      </c>
      <c r="P63" s="204">
        <v>0</v>
      </c>
      <c r="Q63" s="204">
        <v>0</v>
      </c>
      <c r="R63" s="205">
        <f t="shared" si="9"/>
        <v>50503.601550388928</v>
      </c>
    </row>
    <row r="64" spans="1:18" x14ac:dyDescent="0.2">
      <c r="A64" s="161">
        <v>9</v>
      </c>
      <c r="B64" s="196">
        <f t="shared" si="4"/>
        <v>44440</v>
      </c>
      <c r="C64" s="219">
        <f t="shared" si="18"/>
        <v>44474</v>
      </c>
      <c r="D64" s="219">
        <f t="shared" si="18"/>
        <v>44494</v>
      </c>
      <c r="E64" s="54" t="s">
        <v>14</v>
      </c>
      <c r="F64" s="236">
        <v>9</v>
      </c>
      <c r="G64" s="199">
        <v>913</v>
      </c>
      <c r="H64" s="200">
        <f t="shared" si="5"/>
        <v>2195.4899999999998</v>
      </c>
      <c r="I64" s="200">
        <f t="shared" ref="I64:I107" si="20">$J$3</f>
        <v>2247.39</v>
      </c>
      <c r="J64" s="201">
        <f t="shared" si="2"/>
        <v>2051867.0699999998</v>
      </c>
      <c r="K64" s="208">
        <f t="shared" si="11"/>
        <v>2004482.3699999999</v>
      </c>
      <c r="L64" s="207">
        <f t="shared" si="19"/>
        <v>47384.699999999953</v>
      </c>
      <c r="M64" s="204">
        <f t="shared" si="7"/>
        <v>1512.2122115640741</v>
      </c>
      <c r="N64" s="205">
        <f t="shared" si="8"/>
        <v>48896.912211564028</v>
      </c>
      <c r="O64" s="204">
        <v>0</v>
      </c>
      <c r="P64" s="204">
        <v>0</v>
      </c>
      <c r="Q64" s="204">
        <v>0</v>
      </c>
      <c r="R64" s="205">
        <f t="shared" si="9"/>
        <v>48896.912211564028</v>
      </c>
    </row>
    <row r="65" spans="1:18" x14ac:dyDescent="0.2">
      <c r="A65" s="124">
        <v>10</v>
      </c>
      <c r="B65" s="196">
        <f t="shared" si="4"/>
        <v>44470</v>
      </c>
      <c r="C65" s="219">
        <f t="shared" si="18"/>
        <v>44503</v>
      </c>
      <c r="D65" s="219">
        <f t="shared" si="18"/>
        <v>44524</v>
      </c>
      <c r="E65" s="54" t="s">
        <v>14</v>
      </c>
      <c r="F65" s="236">
        <v>9</v>
      </c>
      <c r="G65" s="199">
        <v>681</v>
      </c>
      <c r="H65" s="200">
        <f t="shared" si="5"/>
        <v>2195.4899999999998</v>
      </c>
      <c r="I65" s="200">
        <f t="shared" si="20"/>
        <v>2247.39</v>
      </c>
      <c r="J65" s="201">
        <f t="shared" si="2"/>
        <v>1530472.5899999999</v>
      </c>
      <c r="K65" s="208">
        <f t="shared" si="11"/>
        <v>1495128.69</v>
      </c>
      <c r="L65" s="207">
        <f t="shared" si="19"/>
        <v>35343.899999999907</v>
      </c>
      <c r="M65" s="204">
        <f t="shared" si="7"/>
        <v>1127.9479913199721</v>
      </c>
      <c r="N65" s="205">
        <f t="shared" si="8"/>
        <v>36471.847991319883</v>
      </c>
      <c r="O65" s="204">
        <v>0</v>
      </c>
      <c r="P65" s="204">
        <v>0</v>
      </c>
      <c r="Q65" s="204">
        <v>0</v>
      </c>
      <c r="R65" s="205">
        <f t="shared" si="9"/>
        <v>36471.847991319883</v>
      </c>
    </row>
    <row r="66" spans="1:18" x14ac:dyDescent="0.2">
      <c r="A66" s="161">
        <v>11</v>
      </c>
      <c r="B66" s="196">
        <f t="shared" si="4"/>
        <v>44501</v>
      </c>
      <c r="C66" s="219">
        <f t="shared" si="18"/>
        <v>44533</v>
      </c>
      <c r="D66" s="219">
        <f t="shared" si="18"/>
        <v>44557</v>
      </c>
      <c r="E66" s="54" t="s">
        <v>14</v>
      </c>
      <c r="F66" s="236">
        <v>9</v>
      </c>
      <c r="G66" s="199">
        <v>652</v>
      </c>
      <c r="H66" s="200">
        <f t="shared" si="5"/>
        <v>2195.4899999999998</v>
      </c>
      <c r="I66" s="200">
        <f t="shared" si="20"/>
        <v>2247.39</v>
      </c>
      <c r="J66" s="201">
        <f t="shared" si="2"/>
        <v>1465298.28</v>
      </c>
      <c r="K66" s="208">
        <f t="shared" si="11"/>
        <v>1431459.4799999997</v>
      </c>
      <c r="L66" s="207">
        <f t="shared" si="19"/>
        <v>33838.800000000279</v>
      </c>
      <c r="M66" s="204">
        <f t="shared" si="7"/>
        <v>1079.9149637894593</v>
      </c>
      <c r="N66" s="205">
        <f t="shared" si="8"/>
        <v>34918.714963789738</v>
      </c>
      <c r="O66" s="204">
        <v>0</v>
      </c>
      <c r="P66" s="204">
        <v>0</v>
      </c>
      <c r="Q66" s="204">
        <v>0</v>
      </c>
      <c r="R66" s="205">
        <f t="shared" si="9"/>
        <v>34918.714963789738</v>
      </c>
    </row>
    <row r="67" spans="1:18" s="223" customFormat="1" x14ac:dyDescent="0.2">
      <c r="A67" s="161">
        <v>12</v>
      </c>
      <c r="B67" s="221">
        <f t="shared" si="4"/>
        <v>44531</v>
      </c>
      <c r="C67" s="219">
        <f t="shared" si="18"/>
        <v>44566</v>
      </c>
      <c r="D67" s="219">
        <f t="shared" si="18"/>
        <v>44585</v>
      </c>
      <c r="E67" s="222" t="s">
        <v>14</v>
      </c>
      <c r="F67" s="238">
        <v>9</v>
      </c>
      <c r="G67" s="211">
        <v>634</v>
      </c>
      <c r="H67" s="212">
        <f t="shared" si="5"/>
        <v>2195.4899999999998</v>
      </c>
      <c r="I67" s="212">
        <f t="shared" si="20"/>
        <v>2247.39</v>
      </c>
      <c r="J67" s="213">
        <f t="shared" si="2"/>
        <v>1424845.26</v>
      </c>
      <c r="K67" s="214">
        <f t="shared" si="11"/>
        <v>1391940.66</v>
      </c>
      <c r="L67" s="215">
        <f t="shared" si="19"/>
        <v>32904.600000000093</v>
      </c>
      <c r="M67" s="204">
        <f t="shared" si="7"/>
        <v>1050.1013604946581</v>
      </c>
      <c r="N67" s="205">
        <f t="shared" si="8"/>
        <v>33954.70136049475</v>
      </c>
      <c r="O67" s="204">
        <v>0</v>
      </c>
      <c r="P67" s="204">
        <v>0</v>
      </c>
      <c r="Q67" s="204">
        <v>0</v>
      </c>
      <c r="R67" s="205">
        <f t="shared" si="9"/>
        <v>33954.70136049475</v>
      </c>
    </row>
    <row r="68" spans="1:18" x14ac:dyDescent="0.2">
      <c r="A68" s="124">
        <v>1</v>
      </c>
      <c r="B68" s="196">
        <f t="shared" si="4"/>
        <v>44197</v>
      </c>
      <c r="C68" s="217">
        <f t="shared" ref="C68:D79" si="21">+C56</f>
        <v>44230</v>
      </c>
      <c r="D68" s="217">
        <f t="shared" si="21"/>
        <v>44251</v>
      </c>
      <c r="E68" s="198" t="s">
        <v>83</v>
      </c>
      <c r="F68" s="148">
        <v>9</v>
      </c>
      <c r="G68" s="199">
        <v>38</v>
      </c>
      <c r="H68" s="200">
        <f t="shared" si="5"/>
        <v>2195.4899999999998</v>
      </c>
      <c r="I68" s="200">
        <f t="shared" si="20"/>
        <v>2247.39</v>
      </c>
      <c r="J68" s="201">
        <f t="shared" si="2"/>
        <v>85400.819999999992</v>
      </c>
      <c r="K68" s="202">
        <f t="shared" si="11"/>
        <v>83428.62</v>
      </c>
      <c r="L68" s="203">
        <f t="shared" si="19"/>
        <v>1972.1999999999971</v>
      </c>
      <c r="M68" s="204">
        <f t="shared" si="7"/>
        <v>62.939829177913268</v>
      </c>
      <c r="N68" s="205">
        <f t="shared" si="8"/>
        <v>2035.1398291779103</v>
      </c>
      <c r="O68" s="204">
        <v>0</v>
      </c>
      <c r="P68" s="204">
        <v>0</v>
      </c>
      <c r="Q68" s="204">
        <v>0</v>
      </c>
      <c r="R68" s="205">
        <f t="shared" si="9"/>
        <v>2035.1398291779103</v>
      </c>
    </row>
    <row r="69" spans="1:18" x14ac:dyDescent="0.2">
      <c r="A69" s="161">
        <v>2</v>
      </c>
      <c r="B69" s="196">
        <f t="shared" si="4"/>
        <v>44228</v>
      </c>
      <c r="C69" s="219">
        <f t="shared" si="21"/>
        <v>44258</v>
      </c>
      <c r="D69" s="219">
        <f t="shared" si="21"/>
        <v>44279</v>
      </c>
      <c r="E69" s="206" t="s">
        <v>83</v>
      </c>
      <c r="F69" s="236">
        <v>9</v>
      </c>
      <c r="G69" s="199">
        <v>60</v>
      </c>
      <c r="H69" s="200">
        <f t="shared" si="5"/>
        <v>2195.4899999999998</v>
      </c>
      <c r="I69" s="200">
        <f t="shared" si="20"/>
        <v>2247.39</v>
      </c>
      <c r="J69" s="201">
        <f t="shared" si="2"/>
        <v>134843.4</v>
      </c>
      <c r="K69" s="202">
        <f t="shared" si="11"/>
        <v>131729.4</v>
      </c>
      <c r="L69" s="203">
        <f t="shared" si="19"/>
        <v>3114</v>
      </c>
      <c r="M69" s="204">
        <f t="shared" si="7"/>
        <v>99.378677649336737</v>
      </c>
      <c r="N69" s="205">
        <f t="shared" si="8"/>
        <v>3213.3786776493366</v>
      </c>
      <c r="O69" s="204">
        <v>0</v>
      </c>
      <c r="P69" s="204">
        <v>0</v>
      </c>
      <c r="Q69" s="204">
        <v>0</v>
      </c>
      <c r="R69" s="205">
        <f t="shared" si="9"/>
        <v>3213.3786776493366</v>
      </c>
    </row>
    <row r="70" spans="1:18" x14ac:dyDescent="0.2">
      <c r="A70" s="161">
        <v>3</v>
      </c>
      <c r="B70" s="196">
        <f t="shared" si="4"/>
        <v>44256</v>
      </c>
      <c r="C70" s="219">
        <f t="shared" si="21"/>
        <v>44291</v>
      </c>
      <c r="D70" s="219">
        <f t="shared" si="21"/>
        <v>44312</v>
      </c>
      <c r="E70" s="206" t="s">
        <v>83</v>
      </c>
      <c r="F70" s="236">
        <v>9</v>
      </c>
      <c r="G70" s="199">
        <v>31</v>
      </c>
      <c r="H70" s="200">
        <f t="shared" si="5"/>
        <v>2195.4899999999998</v>
      </c>
      <c r="I70" s="200">
        <f t="shared" si="20"/>
        <v>2247.39</v>
      </c>
      <c r="J70" s="201">
        <f t="shared" si="2"/>
        <v>69669.09</v>
      </c>
      <c r="K70" s="202">
        <f t="shared" si="11"/>
        <v>68060.189999999988</v>
      </c>
      <c r="L70" s="203">
        <f>+J70-K70</f>
        <v>1608.9000000000087</v>
      </c>
      <c r="M70" s="204">
        <f t="shared" si="7"/>
        <v>51.345650118823983</v>
      </c>
      <c r="N70" s="205">
        <f t="shared" si="8"/>
        <v>1660.2456501188326</v>
      </c>
      <c r="O70" s="204">
        <v>0</v>
      </c>
      <c r="P70" s="204">
        <v>0</v>
      </c>
      <c r="Q70" s="204">
        <v>0</v>
      </c>
      <c r="R70" s="205">
        <f t="shared" si="9"/>
        <v>1660.2456501188326</v>
      </c>
    </row>
    <row r="71" spans="1:18" x14ac:dyDescent="0.2">
      <c r="A71" s="124">
        <v>4</v>
      </c>
      <c r="B71" s="196">
        <f t="shared" si="4"/>
        <v>44287</v>
      </c>
      <c r="C71" s="219">
        <f t="shared" si="21"/>
        <v>44321</v>
      </c>
      <c r="D71" s="219">
        <f t="shared" si="21"/>
        <v>44340</v>
      </c>
      <c r="E71" s="206" t="s">
        <v>83</v>
      </c>
      <c r="F71" s="236">
        <v>9</v>
      </c>
      <c r="G71" s="199">
        <v>20</v>
      </c>
      <c r="H71" s="200">
        <f t="shared" si="5"/>
        <v>2195.4899999999998</v>
      </c>
      <c r="I71" s="200">
        <f t="shared" si="20"/>
        <v>2247.39</v>
      </c>
      <c r="J71" s="201">
        <f t="shared" si="2"/>
        <v>44947.799999999996</v>
      </c>
      <c r="K71" s="202">
        <f t="shared" si="11"/>
        <v>43909.799999999996</v>
      </c>
      <c r="L71" s="203">
        <f t="shared" ref="L71:L79" si="22">+J71-K71</f>
        <v>1038</v>
      </c>
      <c r="M71" s="204">
        <f t="shared" si="7"/>
        <v>33.126225883112248</v>
      </c>
      <c r="N71" s="205">
        <f t="shared" si="8"/>
        <v>1071.1262258831123</v>
      </c>
      <c r="O71" s="204">
        <v>0</v>
      </c>
      <c r="P71" s="204">
        <v>0</v>
      </c>
      <c r="Q71" s="204">
        <v>0</v>
      </c>
      <c r="R71" s="205">
        <f t="shared" si="9"/>
        <v>1071.1262258831123</v>
      </c>
    </row>
    <row r="72" spans="1:18" x14ac:dyDescent="0.2">
      <c r="A72" s="161">
        <v>5</v>
      </c>
      <c r="B72" s="196">
        <f t="shared" si="4"/>
        <v>44317</v>
      </c>
      <c r="C72" s="219">
        <f t="shared" si="21"/>
        <v>44350</v>
      </c>
      <c r="D72" s="219">
        <f t="shared" si="21"/>
        <v>44371</v>
      </c>
      <c r="E72" s="206" t="s">
        <v>83</v>
      </c>
      <c r="F72" s="236">
        <v>9</v>
      </c>
      <c r="G72" s="199">
        <v>28</v>
      </c>
      <c r="H72" s="200">
        <f t="shared" si="5"/>
        <v>2195.4899999999998</v>
      </c>
      <c r="I72" s="200">
        <f t="shared" si="20"/>
        <v>2247.39</v>
      </c>
      <c r="J72" s="201">
        <f t="shared" si="2"/>
        <v>62926.92</v>
      </c>
      <c r="K72" s="202">
        <f t="shared" si="11"/>
        <v>61473.719999999994</v>
      </c>
      <c r="L72" s="203">
        <f t="shared" si="22"/>
        <v>1453.2000000000044</v>
      </c>
      <c r="M72" s="204">
        <f t="shared" si="7"/>
        <v>46.376716236357147</v>
      </c>
      <c r="N72" s="205">
        <f t="shared" si="8"/>
        <v>1499.5767162363616</v>
      </c>
      <c r="O72" s="204">
        <v>0</v>
      </c>
      <c r="P72" s="204">
        <v>0</v>
      </c>
      <c r="Q72" s="204">
        <v>0</v>
      </c>
      <c r="R72" s="205">
        <f t="shared" si="9"/>
        <v>1499.5767162363616</v>
      </c>
    </row>
    <row r="73" spans="1:18" x14ac:dyDescent="0.2">
      <c r="A73" s="161">
        <v>6</v>
      </c>
      <c r="B73" s="196">
        <f t="shared" si="4"/>
        <v>44348</v>
      </c>
      <c r="C73" s="219">
        <f t="shared" si="21"/>
        <v>44383</v>
      </c>
      <c r="D73" s="219">
        <f t="shared" si="21"/>
        <v>44401</v>
      </c>
      <c r="E73" s="206" t="s">
        <v>83</v>
      </c>
      <c r="F73" s="236">
        <v>9</v>
      </c>
      <c r="G73" s="199">
        <v>45</v>
      </c>
      <c r="H73" s="200">
        <f t="shared" si="5"/>
        <v>2195.4899999999998</v>
      </c>
      <c r="I73" s="200">
        <f t="shared" si="20"/>
        <v>2247.39</v>
      </c>
      <c r="J73" s="201">
        <f t="shared" si="2"/>
        <v>101132.54999999999</v>
      </c>
      <c r="K73" s="202">
        <f t="shared" si="11"/>
        <v>98797.049999999988</v>
      </c>
      <c r="L73" s="207">
        <f t="shared" si="22"/>
        <v>2335.5</v>
      </c>
      <c r="M73" s="204">
        <f t="shared" si="7"/>
        <v>74.534008237002567</v>
      </c>
      <c r="N73" s="205">
        <f t="shared" si="8"/>
        <v>2410.0340082370026</v>
      </c>
      <c r="O73" s="204">
        <v>0</v>
      </c>
      <c r="P73" s="204">
        <v>0</v>
      </c>
      <c r="Q73" s="204">
        <v>0</v>
      </c>
      <c r="R73" s="205">
        <f t="shared" si="9"/>
        <v>2410.0340082370026</v>
      </c>
    </row>
    <row r="74" spans="1:18" x14ac:dyDescent="0.2">
      <c r="A74" s="124">
        <v>7</v>
      </c>
      <c r="B74" s="196">
        <f t="shared" si="4"/>
        <v>44378</v>
      </c>
      <c r="C74" s="219">
        <f t="shared" si="21"/>
        <v>44412</v>
      </c>
      <c r="D74" s="219">
        <f t="shared" si="21"/>
        <v>44432</v>
      </c>
      <c r="E74" s="206" t="s">
        <v>83</v>
      </c>
      <c r="F74" s="236">
        <v>9</v>
      </c>
      <c r="G74" s="199">
        <v>53</v>
      </c>
      <c r="H74" s="200">
        <f t="shared" si="5"/>
        <v>2195.4899999999998</v>
      </c>
      <c r="I74" s="200">
        <f t="shared" si="20"/>
        <v>2247.39</v>
      </c>
      <c r="J74" s="201">
        <f t="shared" si="2"/>
        <v>119111.67</v>
      </c>
      <c r="K74" s="208">
        <f t="shared" si="11"/>
        <v>116360.96999999999</v>
      </c>
      <c r="L74" s="207">
        <f t="shared" si="22"/>
        <v>2750.7000000000116</v>
      </c>
      <c r="M74" s="204">
        <f t="shared" si="7"/>
        <v>87.784498590247466</v>
      </c>
      <c r="N74" s="205">
        <f t="shared" si="8"/>
        <v>2838.4844985902591</v>
      </c>
      <c r="O74" s="204">
        <v>0</v>
      </c>
      <c r="P74" s="204">
        <v>0</v>
      </c>
      <c r="Q74" s="204">
        <v>0</v>
      </c>
      <c r="R74" s="205">
        <f t="shared" si="9"/>
        <v>2838.4844985902591</v>
      </c>
    </row>
    <row r="75" spans="1:18" x14ac:dyDescent="0.2">
      <c r="A75" s="161">
        <v>8</v>
      </c>
      <c r="B75" s="196">
        <f t="shared" si="4"/>
        <v>44409</v>
      </c>
      <c r="C75" s="219">
        <f t="shared" si="21"/>
        <v>44442</v>
      </c>
      <c r="D75" s="219">
        <f t="shared" si="21"/>
        <v>44463</v>
      </c>
      <c r="E75" s="206" t="s">
        <v>83</v>
      </c>
      <c r="F75" s="236">
        <v>9</v>
      </c>
      <c r="G75" s="199">
        <v>50</v>
      </c>
      <c r="H75" s="200">
        <f t="shared" si="5"/>
        <v>2195.4899999999998</v>
      </c>
      <c r="I75" s="200">
        <f t="shared" si="20"/>
        <v>2247.39</v>
      </c>
      <c r="J75" s="201">
        <f t="shared" si="2"/>
        <v>112369.5</v>
      </c>
      <c r="K75" s="208">
        <f t="shared" si="11"/>
        <v>109774.49999999999</v>
      </c>
      <c r="L75" s="207">
        <f t="shared" si="22"/>
        <v>2595.0000000000146</v>
      </c>
      <c r="M75" s="204">
        <f t="shared" si="7"/>
        <v>82.815564707780624</v>
      </c>
      <c r="N75" s="205">
        <f t="shared" si="8"/>
        <v>2677.8155647077951</v>
      </c>
      <c r="O75" s="204">
        <v>0</v>
      </c>
      <c r="P75" s="204">
        <v>0</v>
      </c>
      <c r="Q75" s="204">
        <v>0</v>
      </c>
      <c r="R75" s="205">
        <f t="shared" si="9"/>
        <v>2677.8155647077951</v>
      </c>
    </row>
    <row r="76" spans="1:18" x14ac:dyDescent="0.2">
      <c r="A76" s="161">
        <v>9</v>
      </c>
      <c r="B76" s="196">
        <f t="shared" si="4"/>
        <v>44440</v>
      </c>
      <c r="C76" s="219">
        <f t="shared" si="21"/>
        <v>44474</v>
      </c>
      <c r="D76" s="219">
        <f t="shared" si="21"/>
        <v>44494</v>
      </c>
      <c r="E76" s="206" t="s">
        <v>83</v>
      </c>
      <c r="F76" s="236">
        <v>9</v>
      </c>
      <c r="G76" s="199">
        <v>49</v>
      </c>
      <c r="H76" s="200">
        <f t="shared" si="5"/>
        <v>2195.4899999999998</v>
      </c>
      <c r="I76" s="200">
        <f t="shared" si="20"/>
        <v>2247.39</v>
      </c>
      <c r="J76" s="201">
        <f t="shared" si="2"/>
        <v>110122.11</v>
      </c>
      <c r="K76" s="208">
        <f t="shared" si="11"/>
        <v>107579.01</v>
      </c>
      <c r="L76" s="207">
        <f t="shared" si="22"/>
        <v>2543.1000000000058</v>
      </c>
      <c r="M76" s="204">
        <f t="shared" si="7"/>
        <v>81.159253413625009</v>
      </c>
      <c r="N76" s="205">
        <f t="shared" si="8"/>
        <v>2624.2592534136306</v>
      </c>
      <c r="O76" s="204">
        <v>0</v>
      </c>
      <c r="P76" s="204">
        <v>0</v>
      </c>
      <c r="Q76" s="204">
        <v>0</v>
      </c>
      <c r="R76" s="205">
        <f t="shared" si="9"/>
        <v>2624.2592534136306</v>
      </c>
    </row>
    <row r="77" spans="1:18" x14ac:dyDescent="0.2">
      <c r="A77" s="124">
        <v>10</v>
      </c>
      <c r="B77" s="196">
        <f t="shared" si="4"/>
        <v>44470</v>
      </c>
      <c r="C77" s="219">
        <f t="shared" si="21"/>
        <v>44503</v>
      </c>
      <c r="D77" s="219">
        <f t="shared" si="21"/>
        <v>44524</v>
      </c>
      <c r="E77" s="206" t="s">
        <v>83</v>
      </c>
      <c r="F77" s="236">
        <v>9</v>
      </c>
      <c r="G77" s="199">
        <v>38</v>
      </c>
      <c r="H77" s="200">
        <f t="shared" si="5"/>
        <v>2195.4899999999998</v>
      </c>
      <c r="I77" s="200">
        <f t="shared" si="20"/>
        <v>2247.39</v>
      </c>
      <c r="J77" s="201">
        <f t="shared" si="2"/>
        <v>85400.819999999992</v>
      </c>
      <c r="K77" s="208">
        <f t="shared" si="11"/>
        <v>83428.62</v>
      </c>
      <c r="L77" s="207">
        <f t="shared" si="22"/>
        <v>1972.1999999999971</v>
      </c>
      <c r="M77" s="204">
        <f t="shared" si="7"/>
        <v>62.939829177913268</v>
      </c>
      <c r="N77" s="205">
        <f t="shared" si="8"/>
        <v>2035.1398291779103</v>
      </c>
      <c r="O77" s="204">
        <v>0</v>
      </c>
      <c r="P77" s="204">
        <v>0</v>
      </c>
      <c r="Q77" s="204">
        <v>0</v>
      </c>
      <c r="R77" s="205">
        <f t="shared" si="9"/>
        <v>2035.1398291779103</v>
      </c>
    </row>
    <row r="78" spans="1:18" x14ac:dyDescent="0.2">
      <c r="A78" s="161">
        <v>11</v>
      </c>
      <c r="B78" s="196">
        <f t="shared" si="4"/>
        <v>44501</v>
      </c>
      <c r="C78" s="219">
        <f t="shared" si="21"/>
        <v>44533</v>
      </c>
      <c r="D78" s="219">
        <f t="shared" si="21"/>
        <v>44557</v>
      </c>
      <c r="E78" s="206" t="s">
        <v>83</v>
      </c>
      <c r="F78" s="236">
        <v>9</v>
      </c>
      <c r="G78" s="199">
        <v>32</v>
      </c>
      <c r="H78" s="200">
        <f t="shared" si="5"/>
        <v>2195.4899999999998</v>
      </c>
      <c r="I78" s="200">
        <f t="shared" si="20"/>
        <v>2247.39</v>
      </c>
      <c r="J78" s="201">
        <f t="shared" si="2"/>
        <v>71916.479999999996</v>
      </c>
      <c r="K78" s="208">
        <f>+$G78*H78</f>
        <v>70255.679999999993</v>
      </c>
      <c r="L78" s="207">
        <f t="shared" si="22"/>
        <v>1660.8000000000029</v>
      </c>
      <c r="M78" s="204">
        <f t="shared" si="7"/>
        <v>53.001961412979597</v>
      </c>
      <c r="N78" s="205">
        <f t="shared" si="8"/>
        <v>1713.8019614129826</v>
      </c>
      <c r="O78" s="204">
        <v>0</v>
      </c>
      <c r="P78" s="204">
        <v>0</v>
      </c>
      <c r="Q78" s="204">
        <v>0</v>
      </c>
      <c r="R78" s="205">
        <f t="shared" si="9"/>
        <v>1713.8019614129826</v>
      </c>
    </row>
    <row r="79" spans="1:18" s="223" customFormat="1" x14ac:dyDescent="0.2">
      <c r="A79" s="161">
        <v>12</v>
      </c>
      <c r="B79" s="221">
        <f t="shared" si="4"/>
        <v>44531</v>
      </c>
      <c r="C79" s="224">
        <f t="shared" si="21"/>
        <v>44566</v>
      </c>
      <c r="D79" s="224">
        <f t="shared" si="21"/>
        <v>44585</v>
      </c>
      <c r="E79" s="225" t="s">
        <v>83</v>
      </c>
      <c r="F79" s="238">
        <v>9</v>
      </c>
      <c r="G79" s="211">
        <v>31</v>
      </c>
      <c r="H79" s="212">
        <f t="shared" si="5"/>
        <v>2195.4899999999998</v>
      </c>
      <c r="I79" s="212">
        <f t="shared" si="20"/>
        <v>2247.39</v>
      </c>
      <c r="J79" s="213">
        <f t="shared" si="2"/>
        <v>69669.09</v>
      </c>
      <c r="K79" s="214">
        <f>+$G79*H79</f>
        <v>68060.189999999988</v>
      </c>
      <c r="L79" s="215">
        <f t="shared" si="22"/>
        <v>1608.9000000000087</v>
      </c>
      <c r="M79" s="204">
        <f t="shared" si="7"/>
        <v>51.345650118823983</v>
      </c>
      <c r="N79" s="205">
        <f t="shared" si="8"/>
        <v>1660.2456501188326</v>
      </c>
      <c r="O79" s="204">
        <v>0</v>
      </c>
      <c r="P79" s="204">
        <v>0</v>
      </c>
      <c r="Q79" s="204">
        <v>0</v>
      </c>
      <c r="R79" s="205">
        <f t="shared" si="9"/>
        <v>1660.2456501188326</v>
      </c>
    </row>
    <row r="80" spans="1:18" s="52" customFormat="1" ht="12.75" customHeight="1" x14ac:dyDescent="0.2">
      <c r="A80" s="124">
        <v>1</v>
      </c>
      <c r="B80" s="196">
        <f t="shared" si="4"/>
        <v>44197</v>
      </c>
      <c r="C80" s="217">
        <f t="shared" ref="C80:D91" si="23">+C56</f>
        <v>44230</v>
      </c>
      <c r="D80" s="217">
        <f t="shared" si="23"/>
        <v>44251</v>
      </c>
      <c r="E80" s="198" t="s">
        <v>9</v>
      </c>
      <c r="F80" s="148">
        <v>9</v>
      </c>
      <c r="G80" s="199">
        <v>43</v>
      </c>
      <c r="H80" s="200">
        <f t="shared" si="5"/>
        <v>2195.4899999999998</v>
      </c>
      <c r="I80" s="200">
        <f t="shared" si="20"/>
        <v>2247.39</v>
      </c>
      <c r="J80" s="201">
        <f t="shared" si="2"/>
        <v>96637.76999999999</v>
      </c>
      <c r="K80" s="202">
        <f t="shared" si="11"/>
        <v>94406.069999999992</v>
      </c>
      <c r="L80" s="203">
        <f t="shared" si="19"/>
        <v>2231.6999999999971</v>
      </c>
      <c r="M80" s="204">
        <f t="shared" si="7"/>
        <v>71.221385648691324</v>
      </c>
      <c r="N80" s="205">
        <f t="shared" si="8"/>
        <v>2302.9213856486886</v>
      </c>
      <c r="O80" s="204">
        <v>0</v>
      </c>
      <c r="P80" s="204">
        <v>0</v>
      </c>
      <c r="Q80" s="204">
        <v>0</v>
      </c>
      <c r="R80" s="205">
        <f t="shared" si="9"/>
        <v>2302.9213856486886</v>
      </c>
    </row>
    <row r="81" spans="1:18" x14ac:dyDescent="0.2">
      <c r="A81" s="161">
        <v>2</v>
      </c>
      <c r="B81" s="196">
        <f t="shared" si="4"/>
        <v>44228</v>
      </c>
      <c r="C81" s="219">
        <f t="shared" si="23"/>
        <v>44258</v>
      </c>
      <c r="D81" s="219">
        <f t="shared" si="23"/>
        <v>44279</v>
      </c>
      <c r="E81" s="206" t="s">
        <v>9</v>
      </c>
      <c r="F81" s="236">
        <v>9</v>
      </c>
      <c r="G81" s="199">
        <v>48</v>
      </c>
      <c r="H81" s="200">
        <f t="shared" si="5"/>
        <v>2195.4899999999998</v>
      </c>
      <c r="I81" s="200">
        <f t="shared" si="20"/>
        <v>2247.39</v>
      </c>
      <c r="J81" s="201">
        <f t="shared" si="2"/>
        <v>107874.72</v>
      </c>
      <c r="K81" s="202">
        <f t="shared" si="11"/>
        <v>105383.51999999999</v>
      </c>
      <c r="L81" s="203">
        <f t="shared" si="19"/>
        <v>2491.2000000000116</v>
      </c>
      <c r="M81" s="204">
        <f t="shared" si="7"/>
        <v>79.502942119469395</v>
      </c>
      <c r="N81" s="205">
        <f t="shared" si="8"/>
        <v>2570.7029421194811</v>
      </c>
      <c r="O81" s="204">
        <v>0</v>
      </c>
      <c r="P81" s="204">
        <v>0</v>
      </c>
      <c r="Q81" s="204">
        <v>0</v>
      </c>
      <c r="R81" s="205">
        <f t="shared" si="9"/>
        <v>2570.7029421194811</v>
      </c>
    </row>
    <row r="82" spans="1:18" x14ac:dyDescent="0.2">
      <c r="A82" s="161">
        <v>3</v>
      </c>
      <c r="B82" s="196">
        <f t="shared" si="4"/>
        <v>44256</v>
      </c>
      <c r="C82" s="219">
        <f t="shared" si="23"/>
        <v>44291</v>
      </c>
      <c r="D82" s="219">
        <f t="shared" si="23"/>
        <v>44312</v>
      </c>
      <c r="E82" s="206" t="s">
        <v>9</v>
      </c>
      <c r="F82" s="236">
        <v>9</v>
      </c>
      <c r="G82" s="199">
        <v>35</v>
      </c>
      <c r="H82" s="200">
        <f t="shared" si="5"/>
        <v>2195.4899999999998</v>
      </c>
      <c r="I82" s="200">
        <f t="shared" si="20"/>
        <v>2247.39</v>
      </c>
      <c r="J82" s="201">
        <f t="shared" si="2"/>
        <v>78658.649999999994</v>
      </c>
      <c r="K82" s="202">
        <f t="shared" si="11"/>
        <v>76842.149999999994</v>
      </c>
      <c r="L82" s="203">
        <f>+J82-K82</f>
        <v>1816.5</v>
      </c>
      <c r="M82" s="204">
        <f t="shared" si="7"/>
        <v>57.970895295446439</v>
      </c>
      <c r="N82" s="205">
        <f t="shared" si="8"/>
        <v>1874.4708952954466</v>
      </c>
      <c r="O82" s="204">
        <v>0</v>
      </c>
      <c r="P82" s="204">
        <v>0</v>
      </c>
      <c r="Q82" s="204">
        <v>0</v>
      </c>
      <c r="R82" s="205">
        <f t="shared" si="9"/>
        <v>1874.4708952954466</v>
      </c>
    </row>
    <row r="83" spans="1:18" ht="12" customHeight="1" x14ac:dyDescent="0.2">
      <c r="A83" s="124">
        <v>4</v>
      </c>
      <c r="B83" s="196">
        <f t="shared" si="4"/>
        <v>44287</v>
      </c>
      <c r="C83" s="219">
        <f t="shared" si="23"/>
        <v>44321</v>
      </c>
      <c r="D83" s="219">
        <f t="shared" si="23"/>
        <v>44340</v>
      </c>
      <c r="E83" s="54" t="s">
        <v>9</v>
      </c>
      <c r="F83" s="236">
        <v>9</v>
      </c>
      <c r="G83" s="199">
        <v>29</v>
      </c>
      <c r="H83" s="200">
        <f t="shared" si="5"/>
        <v>2195.4899999999998</v>
      </c>
      <c r="I83" s="200">
        <f t="shared" si="20"/>
        <v>2247.39</v>
      </c>
      <c r="J83" s="201">
        <f t="shared" si="2"/>
        <v>65174.31</v>
      </c>
      <c r="K83" s="202">
        <f t="shared" si="11"/>
        <v>63669.209999999992</v>
      </c>
      <c r="L83" s="203">
        <f t="shared" ref="L83:L93" si="24">+J83-K83</f>
        <v>1505.1000000000058</v>
      </c>
      <c r="M83" s="204">
        <f t="shared" si="7"/>
        <v>48.033027530512761</v>
      </c>
      <c r="N83" s="205">
        <f t="shared" si="8"/>
        <v>1553.1330275305186</v>
      </c>
      <c r="O83" s="204">
        <v>0</v>
      </c>
      <c r="P83" s="204">
        <v>0</v>
      </c>
      <c r="Q83" s="204">
        <v>0</v>
      </c>
      <c r="R83" s="205">
        <f t="shared" si="9"/>
        <v>1553.1330275305186</v>
      </c>
    </row>
    <row r="84" spans="1:18" ht="12" customHeight="1" x14ac:dyDescent="0.2">
      <c r="A84" s="161">
        <v>5</v>
      </c>
      <c r="B84" s="196">
        <f t="shared" si="4"/>
        <v>44317</v>
      </c>
      <c r="C84" s="219">
        <f t="shared" si="23"/>
        <v>44350</v>
      </c>
      <c r="D84" s="219">
        <f t="shared" si="23"/>
        <v>44371</v>
      </c>
      <c r="E84" s="54" t="s">
        <v>9</v>
      </c>
      <c r="F84" s="236">
        <v>9</v>
      </c>
      <c r="G84" s="199">
        <v>34</v>
      </c>
      <c r="H84" s="200">
        <f t="shared" si="5"/>
        <v>2195.4899999999998</v>
      </c>
      <c r="I84" s="200">
        <f t="shared" si="20"/>
        <v>2247.39</v>
      </c>
      <c r="J84" s="201">
        <f t="shared" si="2"/>
        <v>76411.259999999995</v>
      </c>
      <c r="K84" s="202">
        <f t="shared" si="11"/>
        <v>74646.659999999989</v>
      </c>
      <c r="L84" s="203">
        <f t="shared" si="24"/>
        <v>1764.6000000000058</v>
      </c>
      <c r="M84" s="204">
        <f t="shared" si="7"/>
        <v>56.314584001290825</v>
      </c>
      <c r="N84" s="205">
        <f t="shared" si="8"/>
        <v>1820.9145840012966</v>
      </c>
      <c r="O84" s="204">
        <v>0</v>
      </c>
      <c r="P84" s="204">
        <v>0</v>
      </c>
      <c r="Q84" s="204">
        <v>0</v>
      </c>
      <c r="R84" s="205">
        <f t="shared" si="9"/>
        <v>1820.9145840012966</v>
      </c>
    </row>
    <row r="85" spans="1:18" x14ac:dyDescent="0.2">
      <c r="A85" s="161">
        <v>6</v>
      </c>
      <c r="B85" s="196">
        <f t="shared" si="4"/>
        <v>44348</v>
      </c>
      <c r="C85" s="219">
        <f t="shared" si="23"/>
        <v>44383</v>
      </c>
      <c r="D85" s="219">
        <f t="shared" si="23"/>
        <v>44401</v>
      </c>
      <c r="E85" s="54" t="s">
        <v>9</v>
      </c>
      <c r="F85" s="236">
        <v>9</v>
      </c>
      <c r="G85" s="199">
        <v>45</v>
      </c>
      <c r="H85" s="200">
        <f t="shared" ref="H85:H148" si="25">+$K$3</f>
        <v>2195.4899999999998</v>
      </c>
      <c r="I85" s="200">
        <f t="shared" si="20"/>
        <v>2247.39</v>
      </c>
      <c r="J85" s="201">
        <f t="shared" si="2"/>
        <v>101132.54999999999</v>
      </c>
      <c r="K85" s="202">
        <f t="shared" si="11"/>
        <v>98797.049999999988</v>
      </c>
      <c r="L85" s="207">
        <f t="shared" si="24"/>
        <v>2335.5</v>
      </c>
      <c r="M85" s="204">
        <f t="shared" ref="M85:M148" si="26">G85/$G$212*$M$14</f>
        <v>74.534008237002567</v>
      </c>
      <c r="N85" s="205">
        <f t="shared" ref="N85:N148" si="27">SUM(L85:M85)</f>
        <v>2410.0340082370026</v>
      </c>
      <c r="O85" s="204">
        <v>0</v>
      </c>
      <c r="P85" s="204">
        <v>0</v>
      </c>
      <c r="Q85" s="204">
        <v>0</v>
      </c>
      <c r="R85" s="205">
        <f t="shared" ref="R85:R148" si="28">+N85-Q85</f>
        <v>2410.0340082370026</v>
      </c>
    </row>
    <row r="86" spans="1:18" x14ac:dyDescent="0.2">
      <c r="A86" s="124">
        <v>7</v>
      </c>
      <c r="B86" s="196">
        <f t="shared" si="4"/>
        <v>44378</v>
      </c>
      <c r="C86" s="219">
        <f t="shared" si="23"/>
        <v>44412</v>
      </c>
      <c r="D86" s="219">
        <f t="shared" si="23"/>
        <v>44432</v>
      </c>
      <c r="E86" s="54" t="s">
        <v>9</v>
      </c>
      <c r="F86" s="236">
        <v>9</v>
      </c>
      <c r="G86" s="199">
        <v>48</v>
      </c>
      <c r="H86" s="200">
        <f t="shared" si="25"/>
        <v>2195.4899999999998</v>
      </c>
      <c r="I86" s="200">
        <f t="shared" si="20"/>
        <v>2247.39</v>
      </c>
      <c r="J86" s="201">
        <f t="shared" si="2"/>
        <v>107874.72</v>
      </c>
      <c r="K86" s="208">
        <f t="shared" si="11"/>
        <v>105383.51999999999</v>
      </c>
      <c r="L86" s="207">
        <f t="shared" si="24"/>
        <v>2491.2000000000116</v>
      </c>
      <c r="M86" s="204">
        <f t="shared" si="26"/>
        <v>79.502942119469395</v>
      </c>
      <c r="N86" s="205">
        <f t="shared" si="27"/>
        <v>2570.7029421194811</v>
      </c>
      <c r="O86" s="204">
        <v>0</v>
      </c>
      <c r="P86" s="204">
        <v>0</v>
      </c>
      <c r="Q86" s="204">
        <v>0</v>
      </c>
      <c r="R86" s="205">
        <f t="shared" si="28"/>
        <v>2570.7029421194811</v>
      </c>
    </row>
    <row r="87" spans="1:18" x14ac:dyDescent="0.2">
      <c r="A87" s="161">
        <v>8</v>
      </c>
      <c r="B87" s="196">
        <f t="shared" si="4"/>
        <v>44409</v>
      </c>
      <c r="C87" s="219">
        <f t="shared" si="23"/>
        <v>44442</v>
      </c>
      <c r="D87" s="219">
        <f t="shared" si="23"/>
        <v>44463</v>
      </c>
      <c r="E87" s="54" t="s">
        <v>9</v>
      </c>
      <c r="F87" s="236">
        <v>9</v>
      </c>
      <c r="G87" s="199">
        <v>46</v>
      </c>
      <c r="H87" s="200">
        <f t="shared" si="25"/>
        <v>2195.4899999999998</v>
      </c>
      <c r="I87" s="200">
        <f t="shared" si="20"/>
        <v>2247.39</v>
      </c>
      <c r="J87" s="201">
        <f t="shared" si="2"/>
        <v>103379.93999999999</v>
      </c>
      <c r="K87" s="208">
        <f t="shared" si="11"/>
        <v>100992.54</v>
      </c>
      <c r="L87" s="207">
        <f t="shared" si="24"/>
        <v>2387.3999999999942</v>
      </c>
      <c r="M87" s="204">
        <f t="shared" si="26"/>
        <v>76.190319531158167</v>
      </c>
      <c r="N87" s="205">
        <f t="shared" si="27"/>
        <v>2463.5903195311525</v>
      </c>
      <c r="O87" s="204">
        <v>0</v>
      </c>
      <c r="P87" s="204">
        <v>0</v>
      </c>
      <c r="Q87" s="204">
        <v>0</v>
      </c>
      <c r="R87" s="205">
        <f t="shared" si="28"/>
        <v>2463.5903195311525</v>
      </c>
    </row>
    <row r="88" spans="1:18" x14ac:dyDescent="0.2">
      <c r="A88" s="161">
        <v>9</v>
      </c>
      <c r="B88" s="196">
        <f t="shared" si="4"/>
        <v>44440</v>
      </c>
      <c r="C88" s="219">
        <f t="shared" si="23"/>
        <v>44474</v>
      </c>
      <c r="D88" s="219">
        <f t="shared" si="23"/>
        <v>44494</v>
      </c>
      <c r="E88" s="54" t="s">
        <v>9</v>
      </c>
      <c r="F88" s="236">
        <v>9</v>
      </c>
      <c r="G88" s="199">
        <v>46</v>
      </c>
      <c r="H88" s="200">
        <f t="shared" si="25"/>
        <v>2195.4899999999998</v>
      </c>
      <c r="I88" s="200">
        <f t="shared" si="20"/>
        <v>2247.39</v>
      </c>
      <c r="J88" s="201">
        <f t="shared" si="2"/>
        <v>103379.93999999999</v>
      </c>
      <c r="K88" s="208">
        <f t="shared" si="11"/>
        <v>100992.54</v>
      </c>
      <c r="L88" s="207">
        <f t="shared" si="24"/>
        <v>2387.3999999999942</v>
      </c>
      <c r="M88" s="204">
        <f t="shared" si="26"/>
        <v>76.190319531158167</v>
      </c>
      <c r="N88" s="205">
        <f t="shared" si="27"/>
        <v>2463.5903195311525</v>
      </c>
      <c r="O88" s="204">
        <v>0</v>
      </c>
      <c r="P88" s="204">
        <v>0</v>
      </c>
      <c r="Q88" s="204">
        <v>0</v>
      </c>
      <c r="R88" s="205">
        <f t="shared" si="28"/>
        <v>2463.5903195311525</v>
      </c>
    </row>
    <row r="89" spans="1:18" x14ac:dyDescent="0.2">
      <c r="A89" s="124">
        <v>10</v>
      </c>
      <c r="B89" s="196">
        <f t="shared" si="4"/>
        <v>44470</v>
      </c>
      <c r="C89" s="219">
        <f t="shared" si="23"/>
        <v>44503</v>
      </c>
      <c r="D89" s="219">
        <f t="shared" si="23"/>
        <v>44524</v>
      </c>
      <c r="E89" s="54" t="s">
        <v>9</v>
      </c>
      <c r="F89" s="236">
        <v>9</v>
      </c>
      <c r="G89" s="199">
        <v>41</v>
      </c>
      <c r="H89" s="200">
        <f t="shared" si="25"/>
        <v>2195.4899999999998</v>
      </c>
      <c r="I89" s="200">
        <f t="shared" si="20"/>
        <v>2247.39</v>
      </c>
      <c r="J89" s="201">
        <f t="shared" si="2"/>
        <v>92142.989999999991</v>
      </c>
      <c r="K89" s="208">
        <f t="shared" si="11"/>
        <v>90015.09</v>
      </c>
      <c r="L89" s="207">
        <f t="shared" si="24"/>
        <v>2127.8999999999942</v>
      </c>
      <c r="M89" s="204">
        <f t="shared" si="26"/>
        <v>67.90876306038011</v>
      </c>
      <c r="N89" s="205">
        <f t="shared" si="27"/>
        <v>2195.8087630603741</v>
      </c>
      <c r="O89" s="204">
        <v>0</v>
      </c>
      <c r="P89" s="204">
        <v>0</v>
      </c>
      <c r="Q89" s="204">
        <v>0</v>
      </c>
      <c r="R89" s="205">
        <f t="shared" si="28"/>
        <v>2195.8087630603741</v>
      </c>
    </row>
    <row r="90" spans="1:18" x14ac:dyDescent="0.2">
      <c r="A90" s="161">
        <v>11</v>
      </c>
      <c r="B90" s="196">
        <f t="shared" si="4"/>
        <v>44501</v>
      </c>
      <c r="C90" s="219">
        <f t="shared" si="23"/>
        <v>44533</v>
      </c>
      <c r="D90" s="219">
        <f t="shared" si="23"/>
        <v>44557</v>
      </c>
      <c r="E90" s="54" t="s">
        <v>9</v>
      </c>
      <c r="F90" s="236">
        <v>9</v>
      </c>
      <c r="G90" s="199">
        <v>40</v>
      </c>
      <c r="H90" s="200">
        <f t="shared" si="25"/>
        <v>2195.4899999999998</v>
      </c>
      <c r="I90" s="200">
        <f t="shared" si="20"/>
        <v>2247.39</v>
      </c>
      <c r="J90" s="201">
        <f t="shared" si="2"/>
        <v>89895.599999999991</v>
      </c>
      <c r="K90" s="208">
        <f t="shared" si="11"/>
        <v>87819.599999999991</v>
      </c>
      <c r="L90" s="207">
        <f t="shared" si="24"/>
        <v>2076</v>
      </c>
      <c r="M90" s="204">
        <f t="shared" si="26"/>
        <v>66.252451766224496</v>
      </c>
      <c r="N90" s="205">
        <f t="shared" si="27"/>
        <v>2142.2524517662246</v>
      </c>
      <c r="O90" s="204">
        <v>0</v>
      </c>
      <c r="P90" s="204">
        <v>0</v>
      </c>
      <c r="Q90" s="204">
        <v>0</v>
      </c>
      <c r="R90" s="205">
        <f t="shared" si="28"/>
        <v>2142.2524517662246</v>
      </c>
    </row>
    <row r="91" spans="1:18" s="223" customFormat="1" x14ac:dyDescent="0.2">
      <c r="A91" s="161">
        <v>12</v>
      </c>
      <c r="B91" s="221">
        <f t="shared" si="4"/>
        <v>44531</v>
      </c>
      <c r="C91" s="219">
        <f t="shared" si="23"/>
        <v>44566</v>
      </c>
      <c r="D91" s="219">
        <f t="shared" si="23"/>
        <v>44585</v>
      </c>
      <c r="E91" s="222" t="s">
        <v>9</v>
      </c>
      <c r="F91" s="238">
        <v>9</v>
      </c>
      <c r="G91" s="211">
        <v>39</v>
      </c>
      <c r="H91" s="212">
        <f t="shared" si="25"/>
        <v>2195.4899999999998</v>
      </c>
      <c r="I91" s="212">
        <f t="shared" si="20"/>
        <v>2247.39</v>
      </c>
      <c r="J91" s="213">
        <f t="shared" si="2"/>
        <v>87648.209999999992</v>
      </c>
      <c r="K91" s="214">
        <f t="shared" si="11"/>
        <v>85624.109999999986</v>
      </c>
      <c r="L91" s="215">
        <f t="shared" si="24"/>
        <v>2024.1000000000058</v>
      </c>
      <c r="M91" s="204">
        <f t="shared" si="26"/>
        <v>64.596140472068882</v>
      </c>
      <c r="N91" s="205">
        <f t="shared" si="27"/>
        <v>2088.6961404720746</v>
      </c>
      <c r="O91" s="204">
        <v>0</v>
      </c>
      <c r="P91" s="204">
        <v>0</v>
      </c>
      <c r="Q91" s="204">
        <v>0</v>
      </c>
      <c r="R91" s="205">
        <f t="shared" si="28"/>
        <v>2088.6961404720746</v>
      </c>
    </row>
    <row r="92" spans="1:18" x14ac:dyDescent="0.2">
      <c r="A92" s="124">
        <v>1</v>
      </c>
      <c r="B92" s="196">
        <f t="shared" si="4"/>
        <v>44197</v>
      </c>
      <c r="C92" s="217">
        <f t="shared" ref="C92:D95" si="29">+C80</f>
        <v>44230</v>
      </c>
      <c r="D92" s="217">
        <f t="shared" si="29"/>
        <v>44251</v>
      </c>
      <c r="E92" s="198" t="s">
        <v>8</v>
      </c>
      <c r="F92" s="148">
        <v>9</v>
      </c>
      <c r="G92" s="199">
        <v>76</v>
      </c>
      <c r="H92" s="200">
        <f t="shared" si="25"/>
        <v>2195.4899999999998</v>
      </c>
      <c r="I92" s="200">
        <f t="shared" si="20"/>
        <v>2247.39</v>
      </c>
      <c r="J92" s="201">
        <f t="shared" si="2"/>
        <v>170801.63999999998</v>
      </c>
      <c r="K92" s="202">
        <f t="shared" si="11"/>
        <v>166857.24</v>
      </c>
      <c r="L92" s="203">
        <f t="shared" si="24"/>
        <v>3944.3999999999942</v>
      </c>
      <c r="M92" s="204">
        <f t="shared" si="26"/>
        <v>125.87965835582654</v>
      </c>
      <c r="N92" s="205">
        <f t="shared" si="27"/>
        <v>4070.2796583558206</v>
      </c>
      <c r="O92" s="204">
        <v>0</v>
      </c>
      <c r="P92" s="204">
        <v>0</v>
      </c>
      <c r="Q92" s="204">
        <v>0</v>
      </c>
      <c r="R92" s="205">
        <f t="shared" si="28"/>
        <v>4070.2796583558206</v>
      </c>
    </row>
    <row r="93" spans="1:18" x14ac:dyDescent="0.2">
      <c r="A93" s="161">
        <v>2</v>
      </c>
      <c r="B93" s="196">
        <f t="shared" si="4"/>
        <v>44228</v>
      </c>
      <c r="C93" s="219">
        <f t="shared" si="29"/>
        <v>44258</v>
      </c>
      <c r="D93" s="219">
        <f t="shared" si="29"/>
        <v>44279</v>
      </c>
      <c r="E93" s="206" t="s">
        <v>8</v>
      </c>
      <c r="F93" s="236">
        <v>9</v>
      </c>
      <c r="G93" s="199">
        <v>99</v>
      </c>
      <c r="H93" s="200">
        <f t="shared" si="25"/>
        <v>2195.4899999999998</v>
      </c>
      <c r="I93" s="200">
        <f t="shared" si="20"/>
        <v>2247.39</v>
      </c>
      <c r="J93" s="201">
        <f t="shared" si="2"/>
        <v>222491.61</v>
      </c>
      <c r="K93" s="202">
        <f t="shared" si="11"/>
        <v>217353.50999999998</v>
      </c>
      <c r="L93" s="203">
        <f t="shared" si="24"/>
        <v>5138.1000000000058</v>
      </c>
      <c r="M93" s="204">
        <f t="shared" si="26"/>
        <v>163.97481812140563</v>
      </c>
      <c r="N93" s="205">
        <f t="shared" si="27"/>
        <v>5302.0748181214112</v>
      </c>
      <c r="O93" s="204">
        <v>0</v>
      </c>
      <c r="P93" s="204">
        <v>0</v>
      </c>
      <c r="Q93" s="204">
        <v>0</v>
      </c>
      <c r="R93" s="205">
        <f t="shared" si="28"/>
        <v>5302.0748181214112</v>
      </c>
    </row>
    <row r="94" spans="1:18" x14ac:dyDescent="0.2">
      <c r="A94" s="161">
        <v>3</v>
      </c>
      <c r="B94" s="196">
        <f t="shared" si="4"/>
        <v>44256</v>
      </c>
      <c r="C94" s="219">
        <f t="shared" si="29"/>
        <v>44291</v>
      </c>
      <c r="D94" s="219">
        <f t="shared" si="29"/>
        <v>44312</v>
      </c>
      <c r="E94" s="206" t="s">
        <v>8</v>
      </c>
      <c r="F94" s="236">
        <v>9</v>
      </c>
      <c r="G94" s="199">
        <v>66</v>
      </c>
      <c r="H94" s="200">
        <f t="shared" si="25"/>
        <v>2195.4899999999998</v>
      </c>
      <c r="I94" s="200">
        <f t="shared" si="20"/>
        <v>2247.39</v>
      </c>
      <c r="J94" s="201">
        <f t="shared" si="2"/>
        <v>148327.74</v>
      </c>
      <c r="K94" s="202">
        <f t="shared" ref="K94:K133" si="30">+$G94*H94</f>
        <v>144902.34</v>
      </c>
      <c r="L94" s="203">
        <f>+J94-K94</f>
        <v>3425.3999999999942</v>
      </c>
      <c r="M94" s="204">
        <f t="shared" si="26"/>
        <v>109.31654541427041</v>
      </c>
      <c r="N94" s="205">
        <f t="shared" si="27"/>
        <v>3534.7165454142646</v>
      </c>
      <c r="O94" s="204">
        <v>0</v>
      </c>
      <c r="P94" s="204">
        <v>0</v>
      </c>
      <c r="Q94" s="204">
        <v>0</v>
      </c>
      <c r="R94" s="205">
        <f t="shared" si="28"/>
        <v>3534.7165454142646</v>
      </c>
    </row>
    <row r="95" spans="1:18" x14ac:dyDescent="0.2">
      <c r="A95" s="124">
        <v>4</v>
      </c>
      <c r="B95" s="196">
        <f t="shared" si="4"/>
        <v>44287</v>
      </c>
      <c r="C95" s="219">
        <f t="shared" si="29"/>
        <v>44321</v>
      </c>
      <c r="D95" s="219">
        <f t="shared" si="29"/>
        <v>44340</v>
      </c>
      <c r="E95" s="206" t="s">
        <v>8</v>
      </c>
      <c r="F95" s="236">
        <v>9</v>
      </c>
      <c r="G95" s="199">
        <v>67</v>
      </c>
      <c r="H95" s="200">
        <f t="shared" si="25"/>
        <v>2195.4899999999998</v>
      </c>
      <c r="I95" s="200">
        <f t="shared" si="20"/>
        <v>2247.39</v>
      </c>
      <c r="J95" s="201">
        <f t="shared" si="2"/>
        <v>150575.13</v>
      </c>
      <c r="K95" s="202">
        <f t="shared" si="30"/>
        <v>147097.82999999999</v>
      </c>
      <c r="L95" s="203">
        <f t="shared" ref="L95:L105" si="31">+J95-K95</f>
        <v>3477.3000000000175</v>
      </c>
      <c r="M95" s="204">
        <f t="shared" si="26"/>
        <v>110.97285670842602</v>
      </c>
      <c r="N95" s="205">
        <f t="shared" si="27"/>
        <v>3588.2728567084437</v>
      </c>
      <c r="O95" s="204">
        <v>0</v>
      </c>
      <c r="P95" s="204">
        <v>0</v>
      </c>
      <c r="Q95" s="204">
        <v>0</v>
      </c>
      <c r="R95" s="205">
        <f t="shared" si="28"/>
        <v>3588.2728567084437</v>
      </c>
    </row>
    <row r="96" spans="1:18" x14ac:dyDescent="0.2">
      <c r="A96" s="161">
        <v>5</v>
      </c>
      <c r="B96" s="196">
        <f t="shared" si="4"/>
        <v>44317</v>
      </c>
      <c r="C96" s="219">
        <f t="shared" ref="C96:D116" si="32">+C84</f>
        <v>44350</v>
      </c>
      <c r="D96" s="219">
        <f t="shared" si="32"/>
        <v>44371</v>
      </c>
      <c r="E96" s="54" t="s">
        <v>8</v>
      </c>
      <c r="F96" s="236">
        <v>9</v>
      </c>
      <c r="G96" s="199">
        <v>101</v>
      </c>
      <c r="H96" s="200">
        <f t="shared" si="25"/>
        <v>2195.4899999999998</v>
      </c>
      <c r="I96" s="200">
        <f t="shared" si="20"/>
        <v>2247.39</v>
      </c>
      <c r="J96" s="201">
        <f t="shared" si="2"/>
        <v>226986.38999999998</v>
      </c>
      <c r="K96" s="202">
        <f t="shared" si="30"/>
        <v>221744.49</v>
      </c>
      <c r="L96" s="203">
        <f t="shared" si="31"/>
        <v>5241.8999999999942</v>
      </c>
      <c r="M96" s="204">
        <f t="shared" si="26"/>
        <v>167.28744070971686</v>
      </c>
      <c r="N96" s="205">
        <f t="shared" si="27"/>
        <v>5409.1874407097112</v>
      </c>
      <c r="O96" s="204">
        <v>0</v>
      </c>
      <c r="P96" s="204">
        <v>0</v>
      </c>
      <c r="Q96" s="204">
        <v>0</v>
      </c>
      <c r="R96" s="205">
        <f t="shared" si="28"/>
        <v>5409.1874407097112</v>
      </c>
    </row>
    <row r="97" spans="1:18" x14ac:dyDescent="0.2">
      <c r="A97" s="161">
        <v>6</v>
      </c>
      <c r="B97" s="196">
        <f t="shared" si="4"/>
        <v>44348</v>
      </c>
      <c r="C97" s="219">
        <f t="shared" si="32"/>
        <v>44383</v>
      </c>
      <c r="D97" s="219">
        <f t="shared" si="32"/>
        <v>44401</v>
      </c>
      <c r="E97" s="54" t="s">
        <v>8</v>
      </c>
      <c r="F97" s="236">
        <v>9</v>
      </c>
      <c r="G97" s="199">
        <v>141</v>
      </c>
      <c r="H97" s="200">
        <f t="shared" si="25"/>
        <v>2195.4899999999998</v>
      </c>
      <c r="I97" s="200">
        <f t="shared" si="20"/>
        <v>2247.39</v>
      </c>
      <c r="J97" s="201">
        <f t="shared" si="2"/>
        <v>316881.99</v>
      </c>
      <c r="K97" s="202">
        <f t="shared" si="30"/>
        <v>309564.08999999997</v>
      </c>
      <c r="L97" s="207">
        <f t="shared" si="31"/>
        <v>7317.9000000000233</v>
      </c>
      <c r="M97" s="204">
        <f t="shared" si="26"/>
        <v>233.53989247594137</v>
      </c>
      <c r="N97" s="205">
        <f t="shared" si="27"/>
        <v>7551.4398924759644</v>
      </c>
      <c r="O97" s="204">
        <v>0</v>
      </c>
      <c r="P97" s="204">
        <v>0</v>
      </c>
      <c r="Q97" s="204">
        <v>0</v>
      </c>
      <c r="R97" s="205">
        <f t="shared" si="28"/>
        <v>7551.4398924759644</v>
      </c>
    </row>
    <row r="98" spans="1:18" x14ac:dyDescent="0.2">
      <c r="A98" s="124">
        <v>7</v>
      </c>
      <c r="B98" s="196">
        <f t="shared" si="4"/>
        <v>44378</v>
      </c>
      <c r="C98" s="219">
        <f t="shared" si="32"/>
        <v>44412</v>
      </c>
      <c r="D98" s="219">
        <f t="shared" si="32"/>
        <v>44432</v>
      </c>
      <c r="E98" s="54" t="s">
        <v>8</v>
      </c>
      <c r="F98" s="236">
        <v>9</v>
      </c>
      <c r="G98" s="199">
        <v>145</v>
      </c>
      <c r="H98" s="200">
        <f t="shared" si="25"/>
        <v>2195.4899999999998</v>
      </c>
      <c r="I98" s="200">
        <f t="shared" si="20"/>
        <v>2247.39</v>
      </c>
      <c r="J98" s="201">
        <f t="shared" si="2"/>
        <v>325871.55</v>
      </c>
      <c r="K98" s="208">
        <f t="shared" si="30"/>
        <v>318346.05</v>
      </c>
      <c r="L98" s="207">
        <f t="shared" si="31"/>
        <v>7525.5</v>
      </c>
      <c r="M98" s="204">
        <f t="shared" si="26"/>
        <v>240.1651376525638</v>
      </c>
      <c r="N98" s="205">
        <f t="shared" si="27"/>
        <v>7765.6651376525642</v>
      </c>
      <c r="O98" s="204">
        <v>0</v>
      </c>
      <c r="P98" s="204">
        <v>0</v>
      </c>
      <c r="Q98" s="204">
        <v>0</v>
      </c>
      <c r="R98" s="205">
        <f t="shared" si="28"/>
        <v>7765.6651376525642</v>
      </c>
    </row>
    <row r="99" spans="1:18" x14ac:dyDescent="0.2">
      <c r="A99" s="161">
        <v>8</v>
      </c>
      <c r="B99" s="196">
        <f t="shared" si="4"/>
        <v>44409</v>
      </c>
      <c r="C99" s="219">
        <f t="shared" si="32"/>
        <v>44442</v>
      </c>
      <c r="D99" s="219">
        <f t="shared" si="32"/>
        <v>44463</v>
      </c>
      <c r="E99" s="54" t="s">
        <v>8</v>
      </c>
      <c r="F99" s="236">
        <v>9</v>
      </c>
      <c r="G99" s="199">
        <v>149</v>
      </c>
      <c r="H99" s="200">
        <f t="shared" si="25"/>
        <v>2195.4899999999998</v>
      </c>
      <c r="I99" s="200">
        <f t="shared" si="20"/>
        <v>2247.39</v>
      </c>
      <c r="J99" s="201">
        <f t="shared" si="2"/>
        <v>334861.11</v>
      </c>
      <c r="K99" s="208">
        <f t="shared" si="30"/>
        <v>327128.00999999995</v>
      </c>
      <c r="L99" s="207">
        <f t="shared" si="31"/>
        <v>7733.1000000000349</v>
      </c>
      <c r="M99" s="204">
        <f t="shared" si="26"/>
        <v>246.79038282918626</v>
      </c>
      <c r="N99" s="205">
        <f t="shared" si="27"/>
        <v>7979.8903828292214</v>
      </c>
      <c r="O99" s="204">
        <v>0</v>
      </c>
      <c r="P99" s="204">
        <v>0</v>
      </c>
      <c r="Q99" s="204">
        <v>0</v>
      </c>
      <c r="R99" s="205">
        <f t="shared" si="28"/>
        <v>7979.8903828292214</v>
      </c>
    </row>
    <row r="100" spans="1:18" x14ac:dyDescent="0.2">
      <c r="A100" s="161">
        <v>9</v>
      </c>
      <c r="B100" s="196">
        <f t="shared" si="4"/>
        <v>44440</v>
      </c>
      <c r="C100" s="219">
        <f t="shared" si="32"/>
        <v>44474</v>
      </c>
      <c r="D100" s="219">
        <f t="shared" si="32"/>
        <v>44494</v>
      </c>
      <c r="E100" s="54" t="s">
        <v>8</v>
      </c>
      <c r="F100" s="236">
        <v>9</v>
      </c>
      <c r="G100" s="199">
        <v>150</v>
      </c>
      <c r="H100" s="200">
        <f t="shared" si="25"/>
        <v>2195.4899999999998</v>
      </c>
      <c r="I100" s="200">
        <f t="shared" si="20"/>
        <v>2247.39</v>
      </c>
      <c r="J100" s="201">
        <f t="shared" si="2"/>
        <v>337108.5</v>
      </c>
      <c r="K100" s="208">
        <f t="shared" si="30"/>
        <v>329323.49999999994</v>
      </c>
      <c r="L100" s="207">
        <f t="shared" si="31"/>
        <v>7785.0000000000582</v>
      </c>
      <c r="M100" s="204">
        <f t="shared" si="26"/>
        <v>248.44669412334187</v>
      </c>
      <c r="N100" s="205">
        <f t="shared" si="27"/>
        <v>8033.4466941234004</v>
      </c>
      <c r="O100" s="204">
        <v>0</v>
      </c>
      <c r="P100" s="204">
        <v>0</v>
      </c>
      <c r="Q100" s="204">
        <v>0</v>
      </c>
      <c r="R100" s="205">
        <f t="shared" si="28"/>
        <v>8033.4466941234004</v>
      </c>
    </row>
    <row r="101" spans="1:18" x14ac:dyDescent="0.2">
      <c r="A101" s="124">
        <v>10</v>
      </c>
      <c r="B101" s="196">
        <f t="shared" si="4"/>
        <v>44470</v>
      </c>
      <c r="C101" s="219">
        <f t="shared" si="32"/>
        <v>44503</v>
      </c>
      <c r="D101" s="219">
        <f t="shared" si="32"/>
        <v>44524</v>
      </c>
      <c r="E101" s="54" t="s">
        <v>8</v>
      </c>
      <c r="F101" s="236">
        <v>9</v>
      </c>
      <c r="G101" s="199">
        <v>114</v>
      </c>
      <c r="H101" s="200">
        <f t="shared" si="25"/>
        <v>2195.4899999999998</v>
      </c>
      <c r="I101" s="200">
        <f t="shared" si="20"/>
        <v>2247.39</v>
      </c>
      <c r="J101" s="201">
        <f t="shared" si="2"/>
        <v>256202.46</v>
      </c>
      <c r="K101" s="208">
        <f t="shared" si="30"/>
        <v>250285.86</v>
      </c>
      <c r="L101" s="207">
        <f t="shared" si="31"/>
        <v>5916.6000000000058</v>
      </c>
      <c r="M101" s="204">
        <f t="shared" si="26"/>
        <v>188.81948753373982</v>
      </c>
      <c r="N101" s="205">
        <f t="shared" si="27"/>
        <v>6105.4194875337453</v>
      </c>
      <c r="O101" s="204">
        <v>0</v>
      </c>
      <c r="P101" s="204">
        <v>0</v>
      </c>
      <c r="Q101" s="204">
        <v>0</v>
      </c>
      <c r="R101" s="205">
        <f t="shared" si="28"/>
        <v>6105.4194875337453</v>
      </c>
    </row>
    <row r="102" spans="1:18" x14ac:dyDescent="0.2">
      <c r="A102" s="161">
        <v>11</v>
      </c>
      <c r="B102" s="196">
        <f t="shared" si="4"/>
        <v>44501</v>
      </c>
      <c r="C102" s="219">
        <f t="shared" si="32"/>
        <v>44533</v>
      </c>
      <c r="D102" s="219">
        <f t="shared" si="32"/>
        <v>44557</v>
      </c>
      <c r="E102" s="54" t="s">
        <v>8</v>
      </c>
      <c r="F102" s="236">
        <v>9</v>
      </c>
      <c r="G102" s="199">
        <v>66</v>
      </c>
      <c r="H102" s="200">
        <f t="shared" si="25"/>
        <v>2195.4899999999998</v>
      </c>
      <c r="I102" s="200">
        <f t="shared" si="20"/>
        <v>2247.39</v>
      </c>
      <c r="J102" s="201">
        <f t="shared" si="2"/>
        <v>148327.74</v>
      </c>
      <c r="K102" s="208">
        <f t="shared" si="30"/>
        <v>144902.34</v>
      </c>
      <c r="L102" s="207">
        <f t="shared" si="31"/>
        <v>3425.3999999999942</v>
      </c>
      <c r="M102" s="204">
        <f t="shared" si="26"/>
        <v>109.31654541427041</v>
      </c>
      <c r="N102" s="205">
        <f t="shared" si="27"/>
        <v>3534.7165454142646</v>
      </c>
      <c r="O102" s="204">
        <v>0</v>
      </c>
      <c r="P102" s="204">
        <v>0</v>
      </c>
      <c r="Q102" s="204">
        <v>0</v>
      </c>
      <c r="R102" s="205">
        <f t="shared" si="28"/>
        <v>3534.7165454142646</v>
      </c>
    </row>
    <row r="103" spans="1:18" s="223" customFormat="1" x14ac:dyDescent="0.2">
      <c r="A103" s="161">
        <v>12</v>
      </c>
      <c r="B103" s="221">
        <f t="shared" si="4"/>
        <v>44531</v>
      </c>
      <c r="C103" s="219">
        <f t="shared" si="32"/>
        <v>44566</v>
      </c>
      <c r="D103" s="219">
        <f t="shared" si="32"/>
        <v>44585</v>
      </c>
      <c r="E103" s="222" t="s">
        <v>8</v>
      </c>
      <c r="F103" s="238">
        <v>9</v>
      </c>
      <c r="G103" s="211">
        <v>72</v>
      </c>
      <c r="H103" s="212">
        <f t="shared" si="25"/>
        <v>2195.4899999999998</v>
      </c>
      <c r="I103" s="212">
        <f t="shared" si="20"/>
        <v>2247.39</v>
      </c>
      <c r="J103" s="213">
        <f t="shared" si="2"/>
        <v>161812.07999999999</v>
      </c>
      <c r="K103" s="214">
        <f t="shared" si="30"/>
        <v>158075.27999999997</v>
      </c>
      <c r="L103" s="215">
        <f t="shared" si="31"/>
        <v>3736.8000000000175</v>
      </c>
      <c r="M103" s="204">
        <f t="shared" si="26"/>
        <v>119.25441317920409</v>
      </c>
      <c r="N103" s="205">
        <f t="shared" si="27"/>
        <v>3856.0544131792217</v>
      </c>
      <c r="O103" s="204">
        <v>0</v>
      </c>
      <c r="P103" s="204">
        <v>0</v>
      </c>
      <c r="Q103" s="204">
        <v>0</v>
      </c>
      <c r="R103" s="205">
        <f t="shared" si="28"/>
        <v>3856.0544131792217</v>
      </c>
    </row>
    <row r="104" spans="1:18" x14ac:dyDescent="0.2">
      <c r="A104" s="124">
        <v>1</v>
      </c>
      <c r="B104" s="196">
        <f t="shared" si="4"/>
        <v>44197</v>
      </c>
      <c r="C104" s="217">
        <f t="shared" si="32"/>
        <v>44230</v>
      </c>
      <c r="D104" s="217">
        <f t="shared" si="32"/>
        <v>44251</v>
      </c>
      <c r="E104" s="198" t="s">
        <v>19</v>
      </c>
      <c r="F104" s="148">
        <v>9</v>
      </c>
      <c r="G104" s="199">
        <v>37</v>
      </c>
      <c r="H104" s="200">
        <f t="shared" si="25"/>
        <v>2195.4899999999998</v>
      </c>
      <c r="I104" s="200">
        <f t="shared" si="20"/>
        <v>2247.39</v>
      </c>
      <c r="J104" s="201">
        <f t="shared" si="2"/>
        <v>83153.429999999993</v>
      </c>
      <c r="K104" s="202">
        <f t="shared" si="30"/>
        <v>81233.12999999999</v>
      </c>
      <c r="L104" s="203">
        <f t="shared" si="31"/>
        <v>1920.3000000000029</v>
      </c>
      <c r="M104" s="204">
        <f t="shared" si="26"/>
        <v>61.283517883757661</v>
      </c>
      <c r="N104" s="205">
        <f t="shared" si="27"/>
        <v>1981.5835178837606</v>
      </c>
      <c r="O104" s="204">
        <v>0</v>
      </c>
      <c r="P104" s="204">
        <v>0</v>
      </c>
      <c r="Q104" s="204">
        <v>0</v>
      </c>
      <c r="R104" s="205">
        <f t="shared" si="28"/>
        <v>1981.5835178837606</v>
      </c>
    </row>
    <row r="105" spans="1:18" x14ac:dyDescent="0.2">
      <c r="A105" s="161">
        <v>2</v>
      </c>
      <c r="B105" s="196">
        <f t="shared" si="4"/>
        <v>44228</v>
      </c>
      <c r="C105" s="219">
        <f t="shared" si="32"/>
        <v>44258</v>
      </c>
      <c r="D105" s="219">
        <f t="shared" si="32"/>
        <v>44279</v>
      </c>
      <c r="E105" s="206" t="s">
        <v>19</v>
      </c>
      <c r="F105" s="236">
        <v>9</v>
      </c>
      <c r="G105" s="199">
        <v>33</v>
      </c>
      <c r="H105" s="200">
        <f t="shared" si="25"/>
        <v>2195.4899999999998</v>
      </c>
      <c r="I105" s="200">
        <f t="shared" si="20"/>
        <v>2247.39</v>
      </c>
      <c r="J105" s="201">
        <f t="shared" si="2"/>
        <v>74163.87</v>
      </c>
      <c r="K105" s="202">
        <f t="shared" si="30"/>
        <v>72451.17</v>
      </c>
      <c r="L105" s="203">
        <f t="shared" si="31"/>
        <v>1712.6999999999971</v>
      </c>
      <c r="M105" s="204">
        <f t="shared" si="26"/>
        <v>54.658272707135204</v>
      </c>
      <c r="N105" s="205">
        <f t="shared" si="27"/>
        <v>1767.3582727071323</v>
      </c>
      <c r="O105" s="204">
        <v>0</v>
      </c>
      <c r="P105" s="204">
        <v>0</v>
      </c>
      <c r="Q105" s="204">
        <v>0</v>
      </c>
      <c r="R105" s="205">
        <f t="shared" si="28"/>
        <v>1767.3582727071323</v>
      </c>
    </row>
    <row r="106" spans="1:18" x14ac:dyDescent="0.2">
      <c r="A106" s="161">
        <v>3</v>
      </c>
      <c r="B106" s="196">
        <f t="shared" si="4"/>
        <v>44256</v>
      </c>
      <c r="C106" s="219">
        <f t="shared" si="32"/>
        <v>44291</v>
      </c>
      <c r="D106" s="219">
        <f t="shared" si="32"/>
        <v>44312</v>
      </c>
      <c r="E106" s="206" t="s">
        <v>19</v>
      </c>
      <c r="F106" s="236">
        <v>9</v>
      </c>
      <c r="G106" s="199">
        <v>47</v>
      </c>
      <c r="H106" s="200">
        <f t="shared" si="25"/>
        <v>2195.4899999999998</v>
      </c>
      <c r="I106" s="200">
        <f t="shared" si="20"/>
        <v>2247.39</v>
      </c>
      <c r="J106" s="201">
        <f t="shared" si="2"/>
        <v>105627.32999999999</v>
      </c>
      <c r="K106" s="202">
        <f t="shared" si="30"/>
        <v>103188.02999999998</v>
      </c>
      <c r="L106" s="203">
        <f>+J106-K106</f>
        <v>2439.3000000000029</v>
      </c>
      <c r="M106" s="204">
        <f t="shared" si="26"/>
        <v>77.846630825313781</v>
      </c>
      <c r="N106" s="205">
        <f t="shared" si="27"/>
        <v>2517.1466308253166</v>
      </c>
      <c r="O106" s="204">
        <v>0</v>
      </c>
      <c r="P106" s="204">
        <v>0</v>
      </c>
      <c r="Q106" s="204">
        <v>0</v>
      </c>
      <c r="R106" s="205">
        <f t="shared" si="28"/>
        <v>2517.1466308253166</v>
      </c>
    </row>
    <row r="107" spans="1:18" x14ac:dyDescent="0.2">
      <c r="A107" s="124">
        <v>4</v>
      </c>
      <c r="B107" s="196">
        <f t="shared" si="4"/>
        <v>44287</v>
      </c>
      <c r="C107" s="219">
        <f t="shared" si="32"/>
        <v>44321</v>
      </c>
      <c r="D107" s="219">
        <f t="shared" si="32"/>
        <v>44340</v>
      </c>
      <c r="E107" s="54" t="s">
        <v>19</v>
      </c>
      <c r="F107" s="236">
        <v>9</v>
      </c>
      <c r="G107" s="199">
        <v>39</v>
      </c>
      <c r="H107" s="200">
        <f t="shared" si="25"/>
        <v>2195.4899999999998</v>
      </c>
      <c r="I107" s="200">
        <f t="shared" si="20"/>
        <v>2247.39</v>
      </c>
      <c r="J107" s="201">
        <f t="shared" si="2"/>
        <v>87648.209999999992</v>
      </c>
      <c r="K107" s="202">
        <f t="shared" si="30"/>
        <v>85624.109999999986</v>
      </c>
      <c r="L107" s="203">
        <f t="shared" ref="L107:L115" si="33">+J107-K107</f>
        <v>2024.1000000000058</v>
      </c>
      <c r="M107" s="204">
        <f t="shared" si="26"/>
        <v>64.596140472068882</v>
      </c>
      <c r="N107" s="205">
        <f t="shared" si="27"/>
        <v>2088.6961404720746</v>
      </c>
      <c r="O107" s="204">
        <v>0</v>
      </c>
      <c r="P107" s="204">
        <v>0</v>
      </c>
      <c r="Q107" s="204">
        <v>0</v>
      </c>
      <c r="R107" s="205">
        <f t="shared" si="28"/>
        <v>2088.6961404720746</v>
      </c>
    </row>
    <row r="108" spans="1:18" x14ac:dyDescent="0.2">
      <c r="A108" s="161">
        <v>5</v>
      </c>
      <c r="B108" s="196">
        <f t="shared" si="4"/>
        <v>44317</v>
      </c>
      <c r="C108" s="219">
        <f t="shared" si="32"/>
        <v>44350</v>
      </c>
      <c r="D108" s="219">
        <f t="shared" si="32"/>
        <v>44371</v>
      </c>
      <c r="E108" s="54" t="s">
        <v>19</v>
      </c>
      <c r="F108" s="236">
        <v>9</v>
      </c>
      <c r="G108" s="199">
        <v>46</v>
      </c>
      <c r="H108" s="200">
        <f t="shared" si="25"/>
        <v>2195.4899999999998</v>
      </c>
      <c r="I108" s="200">
        <f t="shared" ref="I108:I127" si="34">$J$3</f>
        <v>2247.39</v>
      </c>
      <c r="J108" s="201">
        <f t="shared" si="2"/>
        <v>103379.93999999999</v>
      </c>
      <c r="K108" s="202">
        <f t="shared" si="30"/>
        <v>100992.54</v>
      </c>
      <c r="L108" s="203">
        <f t="shared" si="33"/>
        <v>2387.3999999999942</v>
      </c>
      <c r="M108" s="204">
        <f t="shared" si="26"/>
        <v>76.190319531158167</v>
      </c>
      <c r="N108" s="205">
        <f t="shared" si="27"/>
        <v>2463.5903195311525</v>
      </c>
      <c r="O108" s="204">
        <v>0</v>
      </c>
      <c r="P108" s="204">
        <v>0</v>
      </c>
      <c r="Q108" s="204">
        <v>0</v>
      </c>
      <c r="R108" s="205">
        <f t="shared" si="28"/>
        <v>2463.5903195311525</v>
      </c>
    </row>
    <row r="109" spans="1:18" x14ac:dyDescent="0.2">
      <c r="A109" s="161">
        <v>6</v>
      </c>
      <c r="B109" s="196">
        <f t="shared" ref="B109:B148" si="35">DATE($R$1,A109,1)</f>
        <v>44348</v>
      </c>
      <c r="C109" s="219">
        <f t="shared" si="32"/>
        <v>44383</v>
      </c>
      <c r="D109" s="219">
        <f t="shared" si="32"/>
        <v>44401</v>
      </c>
      <c r="E109" s="54" t="s">
        <v>19</v>
      </c>
      <c r="F109" s="236">
        <v>9</v>
      </c>
      <c r="G109" s="199">
        <v>51</v>
      </c>
      <c r="H109" s="200">
        <f t="shared" si="25"/>
        <v>2195.4899999999998</v>
      </c>
      <c r="I109" s="200">
        <f t="shared" si="34"/>
        <v>2247.39</v>
      </c>
      <c r="J109" s="201">
        <f t="shared" ref="J109:J148" si="36">+$G109*I109</f>
        <v>114616.89</v>
      </c>
      <c r="K109" s="202">
        <f t="shared" si="30"/>
        <v>111969.98999999999</v>
      </c>
      <c r="L109" s="207">
        <f t="shared" si="33"/>
        <v>2646.9000000000087</v>
      </c>
      <c r="M109" s="204">
        <f t="shared" si="26"/>
        <v>84.471876001936238</v>
      </c>
      <c r="N109" s="205">
        <f t="shared" si="27"/>
        <v>2731.3718760019451</v>
      </c>
      <c r="O109" s="204">
        <v>0</v>
      </c>
      <c r="P109" s="204">
        <v>0</v>
      </c>
      <c r="Q109" s="204">
        <v>0</v>
      </c>
      <c r="R109" s="205">
        <f t="shared" si="28"/>
        <v>2731.3718760019451</v>
      </c>
    </row>
    <row r="110" spans="1:18" x14ac:dyDescent="0.2">
      <c r="A110" s="124">
        <v>7</v>
      </c>
      <c r="B110" s="196">
        <f t="shared" si="35"/>
        <v>44378</v>
      </c>
      <c r="C110" s="219">
        <f t="shared" si="32"/>
        <v>44412</v>
      </c>
      <c r="D110" s="219">
        <f t="shared" si="32"/>
        <v>44432</v>
      </c>
      <c r="E110" s="54" t="s">
        <v>19</v>
      </c>
      <c r="F110" s="236">
        <v>9</v>
      </c>
      <c r="G110" s="199">
        <v>46</v>
      </c>
      <c r="H110" s="200">
        <f t="shared" si="25"/>
        <v>2195.4899999999998</v>
      </c>
      <c r="I110" s="200">
        <f t="shared" si="34"/>
        <v>2247.39</v>
      </c>
      <c r="J110" s="201">
        <f t="shared" si="36"/>
        <v>103379.93999999999</v>
      </c>
      <c r="K110" s="208">
        <f t="shared" si="30"/>
        <v>100992.54</v>
      </c>
      <c r="L110" s="207">
        <f t="shared" si="33"/>
        <v>2387.3999999999942</v>
      </c>
      <c r="M110" s="204">
        <f t="shared" si="26"/>
        <v>76.190319531158167</v>
      </c>
      <c r="N110" s="205">
        <f t="shared" si="27"/>
        <v>2463.5903195311525</v>
      </c>
      <c r="O110" s="204">
        <v>0</v>
      </c>
      <c r="P110" s="204">
        <v>0</v>
      </c>
      <c r="Q110" s="204">
        <v>0</v>
      </c>
      <c r="R110" s="205">
        <f t="shared" si="28"/>
        <v>2463.5903195311525</v>
      </c>
    </row>
    <row r="111" spans="1:18" x14ac:dyDescent="0.2">
      <c r="A111" s="161">
        <v>8</v>
      </c>
      <c r="B111" s="196">
        <f t="shared" si="35"/>
        <v>44409</v>
      </c>
      <c r="C111" s="219">
        <f t="shared" si="32"/>
        <v>44442</v>
      </c>
      <c r="D111" s="219">
        <f t="shared" si="32"/>
        <v>44463</v>
      </c>
      <c r="E111" s="54" t="s">
        <v>19</v>
      </c>
      <c r="F111" s="236">
        <v>9</v>
      </c>
      <c r="G111" s="199">
        <v>50</v>
      </c>
      <c r="H111" s="200">
        <f t="shared" si="25"/>
        <v>2195.4899999999998</v>
      </c>
      <c r="I111" s="200">
        <f t="shared" si="34"/>
        <v>2247.39</v>
      </c>
      <c r="J111" s="201">
        <f t="shared" si="36"/>
        <v>112369.5</v>
      </c>
      <c r="K111" s="208">
        <f t="shared" si="30"/>
        <v>109774.49999999999</v>
      </c>
      <c r="L111" s="207">
        <f t="shared" si="33"/>
        <v>2595.0000000000146</v>
      </c>
      <c r="M111" s="204">
        <f t="shared" si="26"/>
        <v>82.815564707780624</v>
      </c>
      <c r="N111" s="205">
        <f t="shared" si="27"/>
        <v>2677.8155647077951</v>
      </c>
      <c r="O111" s="204">
        <v>0</v>
      </c>
      <c r="P111" s="204">
        <v>0</v>
      </c>
      <c r="Q111" s="204">
        <v>0</v>
      </c>
      <c r="R111" s="205">
        <f t="shared" si="28"/>
        <v>2677.8155647077951</v>
      </c>
    </row>
    <row r="112" spans="1:18" x14ac:dyDescent="0.2">
      <c r="A112" s="161">
        <v>9</v>
      </c>
      <c r="B112" s="196">
        <f t="shared" si="35"/>
        <v>44440</v>
      </c>
      <c r="C112" s="219">
        <f t="shared" si="32"/>
        <v>44474</v>
      </c>
      <c r="D112" s="219">
        <f t="shared" si="32"/>
        <v>44494</v>
      </c>
      <c r="E112" s="54" t="s">
        <v>19</v>
      </c>
      <c r="F112" s="236">
        <v>9</v>
      </c>
      <c r="G112" s="199">
        <v>45</v>
      </c>
      <c r="H112" s="200">
        <f t="shared" si="25"/>
        <v>2195.4899999999998</v>
      </c>
      <c r="I112" s="200">
        <f t="shared" si="34"/>
        <v>2247.39</v>
      </c>
      <c r="J112" s="201">
        <f t="shared" si="36"/>
        <v>101132.54999999999</v>
      </c>
      <c r="K112" s="208">
        <f t="shared" si="30"/>
        <v>98797.049999999988</v>
      </c>
      <c r="L112" s="207">
        <f t="shared" si="33"/>
        <v>2335.5</v>
      </c>
      <c r="M112" s="204">
        <f t="shared" si="26"/>
        <v>74.534008237002567</v>
      </c>
      <c r="N112" s="205">
        <f t="shared" si="27"/>
        <v>2410.0340082370026</v>
      </c>
      <c r="O112" s="204">
        <v>0</v>
      </c>
      <c r="P112" s="204">
        <v>0</v>
      </c>
      <c r="Q112" s="204">
        <v>0</v>
      </c>
      <c r="R112" s="205">
        <f t="shared" si="28"/>
        <v>2410.0340082370026</v>
      </c>
    </row>
    <row r="113" spans="1:18" x14ac:dyDescent="0.2">
      <c r="A113" s="124">
        <v>10</v>
      </c>
      <c r="B113" s="196">
        <f t="shared" si="35"/>
        <v>44470</v>
      </c>
      <c r="C113" s="219">
        <f t="shared" si="32"/>
        <v>44503</v>
      </c>
      <c r="D113" s="219">
        <f t="shared" si="32"/>
        <v>44524</v>
      </c>
      <c r="E113" s="54" t="s">
        <v>19</v>
      </c>
      <c r="F113" s="236">
        <v>9</v>
      </c>
      <c r="G113" s="199">
        <v>46</v>
      </c>
      <c r="H113" s="200">
        <f t="shared" si="25"/>
        <v>2195.4899999999998</v>
      </c>
      <c r="I113" s="200">
        <f t="shared" si="34"/>
        <v>2247.39</v>
      </c>
      <c r="J113" s="201">
        <f t="shared" si="36"/>
        <v>103379.93999999999</v>
      </c>
      <c r="K113" s="208">
        <f t="shared" si="30"/>
        <v>100992.54</v>
      </c>
      <c r="L113" s="207">
        <f t="shared" si="33"/>
        <v>2387.3999999999942</v>
      </c>
      <c r="M113" s="204">
        <f t="shared" si="26"/>
        <v>76.190319531158167</v>
      </c>
      <c r="N113" s="205">
        <f t="shared" si="27"/>
        <v>2463.5903195311525</v>
      </c>
      <c r="O113" s="204">
        <v>0</v>
      </c>
      <c r="P113" s="204">
        <v>0</v>
      </c>
      <c r="Q113" s="204">
        <v>0</v>
      </c>
      <c r="R113" s="205">
        <f t="shared" si="28"/>
        <v>2463.5903195311525</v>
      </c>
    </row>
    <row r="114" spans="1:18" x14ac:dyDescent="0.2">
      <c r="A114" s="161">
        <v>11</v>
      </c>
      <c r="B114" s="196">
        <f t="shared" si="35"/>
        <v>44501</v>
      </c>
      <c r="C114" s="219">
        <f t="shared" si="32"/>
        <v>44533</v>
      </c>
      <c r="D114" s="219">
        <f t="shared" si="32"/>
        <v>44557</v>
      </c>
      <c r="E114" s="54" t="s">
        <v>19</v>
      </c>
      <c r="F114" s="236">
        <v>9</v>
      </c>
      <c r="G114" s="199">
        <v>48</v>
      </c>
      <c r="H114" s="200">
        <f t="shared" si="25"/>
        <v>2195.4899999999998</v>
      </c>
      <c r="I114" s="200">
        <f t="shared" si="34"/>
        <v>2247.39</v>
      </c>
      <c r="J114" s="201">
        <f t="shared" si="36"/>
        <v>107874.72</v>
      </c>
      <c r="K114" s="208">
        <f t="shared" si="30"/>
        <v>105383.51999999999</v>
      </c>
      <c r="L114" s="207">
        <f t="shared" si="33"/>
        <v>2491.2000000000116</v>
      </c>
      <c r="M114" s="204">
        <f t="shared" si="26"/>
        <v>79.502942119469395</v>
      </c>
      <c r="N114" s="205">
        <f t="shared" si="27"/>
        <v>2570.7029421194811</v>
      </c>
      <c r="O114" s="204">
        <v>0</v>
      </c>
      <c r="P114" s="204">
        <v>0</v>
      </c>
      <c r="Q114" s="204">
        <v>0</v>
      </c>
      <c r="R114" s="205">
        <f t="shared" si="28"/>
        <v>2570.7029421194811</v>
      </c>
    </row>
    <row r="115" spans="1:18" s="223" customFormat="1" x14ac:dyDescent="0.2">
      <c r="A115" s="161">
        <v>12</v>
      </c>
      <c r="B115" s="221">
        <f t="shared" si="35"/>
        <v>44531</v>
      </c>
      <c r="C115" s="224">
        <f t="shared" si="32"/>
        <v>44566</v>
      </c>
      <c r="D115" s="224">
        <f t="shared" si="32"/>
        <v>44585</v>
      </c>
      <c r="E115" s="222" t="s">
        <v>19</v>
      </c>
      <c r="F115" s="238">
        <v>9</v>
      </c>
      <c r="G115" s="211">
        <v>42</v>
      </c>
      <c r="H115" s="212">
        <f t="shared" si="25"/>
        <v>2195.4899999999998</v>
      </c>
      <c r="I115" s="212">
        <f t="shared" si="34"/>
        <v>2247.39</v>
      </c>
      <c r="J115" s="213">
        <f t="shared" si="36"/>
        <v>94390.37999999999</v>
      </c>
      <c r="K115" s="214">
        <f t="shared" si="30"/>
        <v>92210.579999999987</v>
      </c>
      <c r="L115" s="215">
        <f t="shared" si="33"/>
        <v>2179.8000000000029</v>
      </c>
      <c r="M115" s="204">
        <f t="shared" si="26"/>
        <v>69.56507435453571</v>
      </c>
      <c r="N115" s="205">
        <f t="shared" si="27"/>
        <v>2249.3650743545386</v>
      </c>
      <c r="O115" s="204">
        <v>0</v>
      </c>
      <c r="P115" s="204">
        <v>0</v>
      </c>
      <c r="Q115" s="204">
        <v>0</v>
      </c>
      <c r="R115" s="205">
        <f t="shared" si="28"/>
        <v>2249.3650743545386</v>
      </c>
    </row>
    <row r="116" spans="1:18" x14ac:dyDescent="0.2">
      <c r="A116" s="124">
        <v>1</v>
      </c>
      <c r="B116" s="196">
        <f t="shared" si="35"/>
        <v>44197</v>
      </c>
      <c r="C116" s="219">
        <f t="shared" si="32"/>
        <v>44230</v>
      </c>
      <c r="D116" s="219">
        <f t="shared" si="32"/>
        <v>44251</v>
      </c>
      <c r="E116" s="198" t="s">
        <v>13</v>
      </c>
      <c r="F116" s="148">
        <v>9</v>
      </c>
      <c r="G116" s="199">
        <v>973</v>
      </c>
      <c r="H116" s="200">
        <f t="shared" si="25"/>
        <v>2195.4899999999998</v>
      </c>
      <c r="I116" s="200">
        <f t="shared" si="34"/>
        <v>2247.39</v>
      </c>
      <c r="J116" s="201">
        <f t="shared" si="36"/>
        <v>2186710.4699999997</v>
      </c>
      <c r="K116" s="202">
        <f t="shared" si="30"/>
        <v>2136211.77</v>
      </c>
      <c r="L116" s="203">
        <f>+J116-K116</f>
        <v>50498.699999999721</v>
      </c>
      <c r="M116" s="204">
        <f t="shared" si="26"/>
        <v>1611.5908892134107</v>
      </c>
      <c r="N116" s="205">
        <f t="shared" si="27"/>
        <v>52110.290889213131</v>
      </c>
      <c r="O116" s="204">
        <v>0</v>
      </c>
      <c r="P116" s="204">
        <v>0</v>
      </c>
      <c r="Q116" s="204">
        <v>0</v>
      </c>
      <c r="R116" s="205">
        <f t="shared" si="28"/>
        <v>52110.290889213131</v>
      </c>
    </row>
    <row r="117" spans="1:18" x14ac:dyDescent="0.2">
      <c r="A117" s="161">
        <v>2</v>
      </c>
      <c r="B117" s="196">
        <f t="shared" si="35"/>
        <v>44228</v>
      </c>
      <c r="C117" s="219">
        <f t="shared" ref="C117:D139" si="37">+C105</f>
        <v>44258</v>
      </c>
      <c r="D117" s="219">
        <f t="shared" si="37"/>
        <v>44279</v>
      </c>
      <c r="E117" s="206" t="s">
        <v>13</v>
      </c>
      <c r="F117" s="236">
        <v>9</v>
      </c>
      <c r="G117" s="199">
        <v>1338</v>
      </c>
      <c r="H117" s="200">
        <f t="shared" si="25"/>
        <v>2195.4899999999998</v>
      </c>
      <c r="I117" s="200">
        <f t="shared" si="34"/>
        <v>2247.39</v>
      </c>
      <c r="J117" s="201">
        <f t="shared" si="36"/>
        <v>3007007.82</v>
      </c>
      <c r="K117" s="202">
        <f t="shared" si="30"/>
        <v>2937565.6199999996</v>
      </c>
      <c r="L117" s="203">
        <f>+J117-K117</f>
        <v>69442.200000000186</v>
      </c>
      <c r="M117" s="204">
        <f t="shared" si="26"/>
        <v>2216.1445115802094</v>
      </c>
      <c r="N117" s="205">
        <f t="shared" si="27"/>
        <v>71658.344511580392</v>
      </c>
      <c r="O117" s="204">
        <v>0</v>
      </c>
      <c r="P117" s="204">
        <v>0</v>
      </c>
      <c r="Q117" s="204">
        <v>0</v>
      </c>
      <c r="R117" s="205">
        <f t="shared" si="28"/>
        <v>71658.344511580392</v>
      </c>
    </row>
    <row r="118" spans="1:18" x14ac:dyDescent="0.2">
      <c r="A118" s="161">
        <v>3</v>
      </c>
      <c r="B118" s="196">
        <f t="shared" si="35"/>
        <v>44256</v>
      </c>
      <c r="C118" s="219">
        <f t="shared" si="37"/>
        <v>44291</v>
      </c>
      <c r="D118" s="219">
        <f t="shared" si="37"/>
        <v>44312</v>
      </c>
      <c r="E118" s="206" t="s">
        <v>13</v>
      </c>
      <c r="F118" s="236">
        <v>9</v>
      </c>
      <c r="G118" s="199">
        <v>790</v>
      </c>
      <c r="H118" s="200">
        <f t="shared" si="25"/>
        <v>2195.4899999999998</v>
      </c>
      <c r="I118" s="200">
        <f t="shared" si="34"/>
        <v>2247.39</v>
      </c>
      <c r="J118" s="201">
        <f t="shared" si="36"/>
        <v>1775438.0999999999</v>
      </c>
      <c r="K118" s="202">
        <f t="shared" si="30"/>
        <v>1734437.0999999999</v>
      </c>
      <c r="L118" s="203">
        <f>+J118-K118</f>
        <v>41001</v>
      </c>
      <c r="M118" s="204">
        <f t="shared" si="26"/>
        <v>1308.4859223829337</v>
      </c>
      <c r="N118" s="205">
        <f t="shared" si="27"/>
        <v>42309.485922382933</v>
      </c>
      <c r="O118" s="204">
        <v>0</v>
      </c>
      <c r="P118" s="204">
        <v>0</v>
      </c>
      <c r="Q118" s="204">
        <v>0</v>
      </c>
      <c r="R118" s="205">
        <f t="shared" si="28"/>
        <v>42309.485922382933</v>
      </c>
    </row>
    <row r="119" spans="1:18" x14ac:dyDescent="0.2">
      <c r="A119" s="124">
        <v>4</v>
      </c>
      <c r="B119" s="196">
        <f t="shared" si="35"/>
        <v>44287</v>
      </c>
      <c r="C119" s="219">
        <f t="shared" si="37"/>
        <v>44321</v>
      </c>
      <c r="D119" s="219">
        <f t="shared" si="37"/>
        <v>44340</v>
      </c>
      <c r="E119" s="54" t="s">
        <v>13</v>
      </c>
      <c r="F119" s="236">
        <v>9</v>
      </c>
      <c r="G119" s="199">
        <v>565</v>
      </c>
      <c r="H119" s="200">
        <f t="shared" si="25"/>
        <v>2195.4899999999998</v>
      </c>
      <c r="I119" s="200">
        <f t="shared" si="34"/>
        <v>2247.39</v>
      </c>
      <c r="J119" s="201">
        <f t="shared" si="36"/>
        <v>1269775.3499999999</v>
      </c>
      <c r="K119" s="202">
        <f t="shared" si="30"/>
        <v>1240451.8499999999</v>
      </c>
      <c r="L119" s="203">
        <f t="shared" ref="L119:L127" si="38">+J119-K119</f>
        <v>29323.5</v>
      </c>
      <c r="M119" s="204">
        <f t="shared" si="26"/>
        <v>935.81588119792093</v>
      </c>
      <c r="N119" s="205">
        <f t="shared" si="27"/>
        <v>30259.315881197919</v>
      </c>
      <c r="O119" s="204">
        <v>0</v>
      </c>
      <c r="P119" s="204">
        <v>0</v>
      </c>
      <c r="Q119" s="204">
        <v>0</v>
      </c>
      <c r="R119" s="205">
        <f t="shared" si="28"/>
        <v>30259.315881197919</v>
      </c>
    </row>
    <row r="120" spans="1:18" x14ac:dyDescent="0.2">
      <c r="A120" s="161">
        <v>5</v>
      </c>
      <c r="B120" s="196">
        <f t="shared" si="35"/>
        <v>44317</v>
      </c>
      <c r="C120" s="219">
        <f t="shared" si="37"/>
        <v>44350</v>
      </c>
      <c r="D120" s="219">
        <f t="shared" si="37"/>
        <v>44371</v>
      </c>
      <c r="E120" s="54" t="s">
        <v>13</v>
      </c>
      <c r="F120" s="236">
        <v>9</v>
      </c>
      <c r="G120" s="199">
        <v>636</v>
      </c>
      <c r="H120" s="200">
        <f t="shared" si="25"/>
        <v>2195.4899999999998</v>
      </c>
      <c r="I120" s="200">
        <f t="shared" si="34"/>
        <v>2247.39</v>
      </c>
      <c r="J120" s="201">
        <f t="shared" si="36"/>
        <v>1429340.0399999998</v>
      </c>
      <c r="K120" s="202">
        <f t="shared" si="30"/>
        <v>1396331.64</v>
      </c>
      <c r="L120" s="203">
        <f t="shared" si="38"/>
        <v>33008.399999999907</v>
      </c>
      <c r="M120" s="204">
        <f t="shared" si="26"/>
        <v>1053.4139830829695</v>
      </c>
      <c r="N120" s="205">
        <f t="shared" si="27"/>
        <v>34061.813983082873</v>
      </c>
      <c r="O120" s="204">
        <v>0</v>
      </c>
      <c r="P120" s="204">
        <v>0</v>
      </c>
      <c r="Q120" s="204">
        <v>0</v>
      </c>
      <c r="R120" s="205">
        <f t="shared" si="28"/>
        <v>34061.813983082873</v>
      </c>
    </row>
    <row r="121" spans="1:18" x14ac:dyDescent="0.2">
      <c r="A121" s="161">
        <v>6</v>
      </c>
      <c r="B121" s="196">
        <f t="shared" si="35"/>
        <v>44348</v>
      </c>
      <c r="C121" s="219">
        <f t="shared" si="37"/>
        <v>44383</v>
      </c>
      <c r="D121" s="219">
        <f t="shared" si="37"/>
        <v>44401</v>
      </c>
      <c r="E121" s="54" t="s">
        <v>13</v>
      </c>
      <c r="F121" s="236">
        <v>9</v>
      </c>
      <c r="G121" s="199">
        <v>845</v>
      </c>
      <c r="H121" s="200">
        <f t="shared" si="25"/>
        <v>2195.4899999999998</v>
      </c>
      <c r="I121" s="200">
        <f t="shared" si="34"/>
        <v>2247.39</v>
      </c>
      <c r="J121" s="201">
        <f t="shared" si="36"/>
        <v>1899044.5499999998</v>
      </c>
      <c r="K121" s="202">
        <f t="shared" si="30"/>
        <v>1855189.0499999998</v>
      </c>
      <c r="L121" s="207">
        <f t="shared" si="38"/>
        <v>43855.5</v>
      </c>
      <c r="M121" s="204">
        <f t="shared" si="26"/>
        <v>1399.5830435614926</v>
      </c>
      <c r="N121" s="205">
        <f t="shared" si="27"/>
        <v>45255.083043561492</v>
      </c>
      <c r="O121" s="204">
        <v>0</v>
      </c>
      <c r="P121" s="204">
        <v>0</v>
      </c>
      <c r="Q121" s="204">
        <v>0</v>
      </c>
      <c r="R121" s="205">
        <f t="shared" si="28"/>
        <v>45255.083043561492</v>
      </c>
    </row>
    <row r="122" spans="1:18" x14ac:dyDescent="0.2">
      <c r="A122" s="124">
        <v>7</v>
      </c>
      <c r="B122" s="196">
        <f t="shared" si="35"/>
        <v>44378</v>
      </c>
      <c r="C122" s="219">
        <f t="shared" si="37"/>
        <v>44412</v>
      </c>
      <c r="D122" s="219">
        <f t="shared" si="37"/>
        <v>44432</v>
      </c>
      <c r="E122" s="54" t="s">
        <v>13</v>
      </c>
      <c r="F122" s="236">
        <v>9</v>
      </c>
      <c r="G122" s="199">
        <v>897</v>
      </c>
      <c r="H122" s="200">
        <f t="shared" si="25"/>
        <v>2195.4899999999998</v>
      </c>
      <c r="I122" s="200">
        <f t="shared" si="34"/>
        <v>2247.39</v>
      </c>
      <c r="J122" s="201">
        <f t="shared" si="36"/>
        <v>2015908.8299999998</v>
      </c>
      <c r="K122" s="208">
        <f t="shared" si="30"/>
        <v>1969354.5299999998</v>
      </c>
      <c r="L122" s="207">
        <f t="shared" si="38"/>
        <v>46554.300000000047</v>
      </c>
      <c r="M122" s="204">
        <f t="shared" si="26"/>
        <v>1485.7112308575843</v>
      </c>
      <c r="N122" s="205">
        <f t="shared" si="27"/>
        <v>48040.011230857628</v>
      </c>
      <c r="O122" s="204">
        <v>0</v>
      </c>
      <c r="P122" s="204">
        <v>0</v>
      </c>
      <c r="Q122" s="204">
        <v>0</v>
      </c>
      <c r="R122" s="205">
        <f t="shared" si="28"/>
        <v>48040.011230857628</v>
      </c>
    </row>
    <row r="123" spans="1:18" x14ac:dyDescent="0.2">
      <c r="A123" s="161">
        <v>8</v>
      </c>
      <c r="B123" s="196">
        <f t="shared" si="35"/>
        <v>44409</v>
      </c>
      <c r="C123" s="219">
        <f t="shared" si="37"/>
        <v>44442</v>
      </c>
      <c r="D123" s="219">
        <f t="shared" si="37"/>
        <v>44463</v>
      </c>
      <c r="E123" s="54" t="s">
        <v>13</v>
      </c>
      <c r="F123" s="236">
        <v>9</v>
      </c>
      <c r="G123" s="199">
        <v>899</v>
      </c>
      <c r="H123" s="200">
        <f t="shared" si="25"/>
        <v>2195.4899999999998</v>
      </c>
      <c r="I123" s="200">
        <f t="shared" si="34"/>
        <v>2247.39</v>
      </c>
      <c r="J123" s="201">
        <f t="shared" si="36"/>
        <v>2020403.6099999999</v>
      </c>
      <c r="K123" s="208">
        <f t="shared" si="30"/>
        <v>1973745.5099999998</v>
      </c>
      <c r="L123" s="207">
        <f t="shared" si="38"/>
        <v>46658.100000000093</v>
      </c>
      <c r="M123" s="204">
        <f t="shared" si="26"/>
        <v>1489.0238534458956</v>
      </c>
      <c r="N123" s="205">
        <f t="shared" si="27"/>
        <v>48147.123853445992</v>
      </c>
      <c r="O123" s="204">
        <v>0</v>
      </c>
      <c r="P123" s="204">
        <v>0</v>
      </c>
      <c r="Q123" s="204">
        <v>0</v>
      </c>
      <c r="R123" s="205">
        <f t="shared" si="28"/>
        <v>48147.123853445992</v>
      </c>
    </row>
    <row r="124" spans="1:18" x14ac:dyDescent="0.2">
      <c r="A124" s="161">
        <v>9</v>
      </c>
      <c r="B124" s="196">
        <f t="shared" si="35"/>
        <v>44440</v>
      </c>
      <c r="C124" s="219">
        <f t="shared" si="37"/>
        <v>44474</v>
      </c>
      <c r="D124" s="219">
        <f t="shared" si="37"/>
        <v>44494</v>
      </c>
      <c r="E124" s="54" t="s">
        <v>13</v>
      </c>
      <c r="F124" s="236">
        <v>9</v>
      </c>
      <c r="G124" s="199">
        <v>904</v>
      </c>
      <c r="H124" s="200">
        <f t="shared" si="25"/>
        <v>2195.4899999999998</v>
      </c>
      <c r="I124" s="200">
        <f t="shared" si="34"/>
        <v>2247.39</v>
      </c>
      <c r="J124" s="201">
        <f t="shared" si="36"/>
        <v>2031640.5599999998</v>
      </c>
      <c r="K124" s="208">
        <f t="shared" si="30"/>
        <v>1984722.9599999997</v>
      </c>
      <c r="L124" s="207">
        <f t="shared" si="38"/>
        <v>46917.600000000093</v>
      </c>
      <c r="M124" s="204">
        <f t="shared" si="26"/>
        <v>1497.3054099166736</v>
      </c>
      <c r="N124" s="205">
        <f t="shared" si="27"/>
        <v>48414.90540991677</v>
      </c>
      <c r="O124" s="204">
        <v>0</v>
      </c>
      <c r="P124" s="204">
        <v>0</v>
      </c>
      <c r="Q124" s="204">
        <v>0</v>
      </c>
      <c r="R124" s="205">
        <f t="shared" si="28"/>
        <v>48414.90540991677</v>
      </c>
    </row>
    <row r="125" spans="1:18" x14ac:dyDescent="0.2">
      <c r="A125" s="124">
        <v>10</v>
      </c>
      <c r="B125" s="196">
        <f t="shared" si="35"/>
        <v>44470</v>
      </c>
      <c r="C125" s="219">
        <f t="shared" si="37"/>
        <v>44503</v>
      </c>
      <c r="D125" s="219">
        <f t="shared" si="37"/>
        <v>44524</v>
      </c>
      <c r="E125" s="54" t="s">
        <v>13</v>
      </c>
      <c r="F125" s="236">
        <v>9</v>
      </c>
      <c r="G125" s="199">
        <v>685</v>
      </c>
      <c r="H125" s="200">
        <f t="shared" si="25"/>
        <v>2195.4899999999998</v>
      </c>
      <c r="I125" s="200">
        <f t="shared" si="34"/>
        <v>2247.39</v>
      </c>
      <c r="J125" s="201">
        <f t="shared" si="36"/>
        <v>1539462.15</v>
      </c>
      <c r="K125" s="208">
        <f t="shared" si="30"/>
        <v>1503910.65</v>
      </c>
      <c r="L125" s="207">
        <f t="shared" si="38"/>
        <v>35551.5</v>
      </c>
      <c r="M125" s="204">
        <f t="shared" si="26"/>
        <v>1134.5732364965945</v>
      </c>
      <c r="N125" s="205">
        <f t="shared" si="27"/>
        <v>36686.073236496595</v>
      </c>
      <c r="O125" s="204">
        <v>0</v>
      </c>
      <c r="P125" s="204">
        <v>0</v>
      </c>
      <c r="Q125" s="204">
        <v>0</v>
      </c>
      <c r="R125" s="205">
        <f t="shared" si="28"/>
        <v>36686.073236496595</v>
      </c>
    </row>
    <row r="126" spans="1:18" x14ac:dyDescent="0.2">
      <c r="A126" s="161">
        <v>11</v>
      </c>
      <c r="B126" s="196">
        <f t="shared" si="35"/>
        <v>44501</v>
      </c>
      <c r="C126" s="219">
        <f t="shared" si="37"/>
        <v>44533</v>
      </c>
      <c r="D126" s="219">
        <f t="shared" si="37"/>
        <v>44557</v>
      </c>
      <c r="E126" s="54" t="s">
        <v>13</v>
      </c>
      <c r="F126" s="236">
        <v>9</v>
      </c>
      <c r="G126" s="199">
        <v>718</v>
      </c>
      <c r="H126" s="200">
        <f t="shared" si="25"/>
        <v>2195.4899999999998</v>
      </c>
      <c r="I126" s="200">
        <f t="shared" si="34"/>
        <v>2247.39</v>
      </c>
      <c r="J126" s="201">
        <f t="shared" si="36"/>
        <v>1613626.02</v>
      </c>
      <c r="K126" s="208">
        <f t="shared" si="30"/>
        <v>1576361.8199999998</v>
      </c>
      <c r="L126" s="207">
        <f t="shared" si="38"/>
        <v>37264.200000000186</v>
      </c>
      <c r="M126" s="204">
        <f t="shared" si="26"/>
        <v>1189.2315092037297</v>
      </c>
      <c r="N126" s="205">
        <f t="shared" si="27"/>
        <v>38453.431509203918</v>
      </c>
      <c r="O126" s="204">
        <v>0</v>
      </c>
      <c r="P126" s="204">
        <v>0</v>
      </c>
      <c r="Q126" s="204">
        <v>0</v>
      </c>
      <c r="R126" s="205">
        <f t="shared" si="28"/>
        <v>38453.431509203918</v>
      </c>
    </row>
    <row r="127" spans="1:18" s="223" customFormat="1" x14ac:dyDescent="0.2">
      <c r="A127" s="161">
        <v>12</v>
      </c>
      <c r="B127" s="221">
        <f t="shared" si="35"/>
        <v>44531</v>
      </c>
      <c r="C127" s="224">
        <f t="shared" si="37"/>
        <v>44566</v>
      </c>
      <c r="D127" s="224">
        <f t="shared" si="37"/>
        <v>44585</v>
      </c>
      <c r="E127" s="222" t="s">
        <v>13</v>
      </c>
      <c r="F127" s="238">
        <v>9</v>
      </c>
      <c r="G127" s="211">
        <v>770</v>
      </c>
      <c r="H127" s="212">
        <f t="shared" si="25"/>
        <v>2195.4899999999998</v>
      </c>
      <c r="I127" s="212">
        <f t="shared" si="34"/>
        <v>2247.39</v>
      </c>
      <c r="J127" s="213">
        <f t="shared" si="36"/>
        <v>1730490.2999999998</v>
      </c>
      <c r="K127" s="214">
        <f t="shared" si="30"/>
        <v>1690527.2999999998</v>
      </c>
      <c r="L127" s="215">
        <f t="shared" si="38"/>
        <v>39963</v>
      </c>
      <c r="M127" s="204">
        <f t="shared" si="26"/>
        <v>1275.3596964998214</v>
      </c>
      <c r="N127" s="205">
        <f t="shared" si="27"/>
        <v>41238.359696499821</v>
      </c>
      <c r="O127" s="204">
        <v>0</v>
      </c>
      <c r="P127" s="204">
        <v>0</v>
      </c>
      <c r="Q127" s="204">
        <v>0</v>
      </c>
      <c r="R127" s="205">
        <f t="shared" si="28"/>
        <v>41238.359696499821</v>
      </c>
    </row>
    <row r="128" spans="1:18" x14ac:dyDescent="0.2">
      <c r="A128" s="124">
        <v>1</v>
      </c>
      <c r="B128" s="196">
        <f t="shared" si="35"/>
        <v>44197</v>
      </c>
      <c r="C128" s="219">
        <f t="shared" si="37"/>
        <v>44230</v>
      </c>
      <c r="D128" s="219">
        <f t="shared" si="37"/>
        <v>44251</v>
      </c>
      <c r="E128" s="198" t="s">
        <v>15</v>
      </c>
      <c r="F128" s="148">
        <v>9</v>
      </c>
      <c r="G128" s="199">
        <v>7</v>
      </c>
      <c r="H128" s="200">
        <f t="shared" si="25"/>
        <v>2195.4899999999998</v>
      </c>
      <c r="I128" s="200">
        <f t="shared" ref="I128:I147" si="39">$J$3</f>
        <v>2247.39</v>
      </c>
      <c r="J128" s="201">
        <f t="shared" si="36"/>
        <v>15731.73</v>
      </c>
      <c r="K128" s="202">
        <f t="shared" si="30"/>
        <v>15368.429999999998</v>
      </c>
      <c r="L128" s="203">
        <f>+J128-K128</f>
        <v>363.30000000000109</v>
      </c>
      <c r="M128" s="204">
        <f t="shared" si="26"/>
        <v>11.594179059089287</v>
      </c>
      <c r="N128" s="205">
        <f t="shared" si="27"/>
        <v>374.89417905909039</v>
      </c>
      <c r="O128" s="204">
        <v>0</v>
      </c>
      <c r="P128" s="204">
        <v>0</v>
      </c>
      <c r="Q128" s="204">
        <v>0</v>
      </c>
      <c r="R128" s="205">
        <f t="shared" si="28"/>
        <v>374.89417905909039</v>
      </c>
    </row>
    <row r="129" spans="1:18" x14ac:dyDescent="0.2">
      <c r="A129" s="161">
        <v>2</v>
      </c>
      <c r="B129" s="196">
        <f t="shared" si="35"/>
        <v>44228</v>
      </c>
      <c r="C129" s="219">
        <f t="shared" si="37"/>
        <v>44258</v>
      </c>
      <c r="D129" s="219">
        <f t="shared" si="37"/>
        <v>44279</v>
      </c>
      <c r="E129" s="206" t="s">
        <v>15</v>
      </c>
      <c r="F129" s="236">
        <v>9</v>
      </c>
      <c r="G129" s="199">
        <v>8</v>
      </c>
      <c r="H129" s="200">
        <f t="shared" si="25"/>
        <v>2195.4899999999998</v>
      </c>
      <c r="I129" s="200">
        <f t="shared" si="39"/>
        <v>2247.39</v>
      </c>
      <c r="J129" s="201">
        <f t="shared" si="36"/>
        <v>17979.12</v>
      </c>
      <c r="K129" s="202">
        <f t="shared" si="30"/>
        <v>17563.919999999998</v>
      </c>
      <c r="L129" s="203">
        <f>+J129-K129</f>
        <v>415.20000000000073</v>
      </c>
      <c r="M129" s="204">
        <f t="shared" si="26"/>
        <v>13.250490353244899</v>
      </c>
      <c r="N129" s="205">
        <f t="shared" si="27"/>
        <v>428.45049035324564</v>
      </c>
      <c r="O129" s="204">
        <v>0</v>
      </c>
      <c r="P129" s="204">
        <v>0</v>
      </c>
      <c r="Q129" s="204">
        <v>0</v>
      </c>
      <c r="R129" s="205">
        <f t="shared" si="28"/>
        <v>428.45049035324564</v>
      </c>
    </row>
    <row r="130" spans="1:18" x14ac:dyDescent="0.2">
      <c r="A130" s="161">
        <v>3</v>
      </c>
      <c r="B130" s="196">
        <f t="shared" si="35"/>
        <v>44256</v>
      </c>
      <c r="C130" s="219">
        <f t="shared" si="37"/>
        <v>44291</v>
      </c>
      <c r="D130" s="219">
        <f t="shared" si="37"/>
        <v>44312</v>
      </c>
      <c r="E130" s="206" t="s">
        <v>15</v>
      </c>
      <c r="F130" s="236">
        <v>9</v>
      </c>
      <c r="G130" s="199">
        <v>5</v>
      </c>
      <c r="H130" s="200">
        <f t="shared" si="25"/>
        <v>2195.4899999999998</v>
      </c>
      <c r="I130" s="200">
        <f t="shared" si="39"/>
        <v>2247.39</v>
      </c>
      <c r="J130" s="201">
        <f t="shared" si="36"/>
        <v>11236.949999999999</v>
      </c>
      <c r="K130" s="202">
        <f t="shared" si="30"/>
        <v>10977.449999999999</v>
      </c>
      <c r="L130" s="203">
        <f>+J130-K130</f>
        <v>259.5</v>
      </c>
      <c r="M130" s="204">
        <f t="shared" si="26"/>
        <v>8.281556470778062</v>
      </c>
      <c r="N130" s="205">
        <f t="shared" si="27"/>
        <v>267.78155647077807</v>
      </c>
      <c r="O130" s="204">
        <v>0</v>
      </c>
      <c r="P130" s="204">
        <v>0</v>
      </c>
      <c r="Q130" s="204">
        <v>0</v>
      </c>
      <c r="R130" s="205">
        <f t="shared" si="28"/>
        <v>267.78155647077807</v>
      </c>
    </row>
    <row r="131" spans="1:18" x14ac:dyDescent="0.2">
      <c r="A131" s="124">
        <v>4</v>
      </c>
      <c r="B131" s="196">
        <f t="shared" si="35"/>
        <v>44287</v>
      </c>
      <c r="C131" s="219">
        <f t="shared" si="37"/>
        <v>44321</v>
      </c>
      <c r="D131" s="219">
        <f t="shared" si="37"/>
        <v>44340</v>
      </c>
      <c r="E131" s="206" t="s">
        <v>15</v>
      </c>
      <c r="F131" s="236">
        <v>9</v>
      </c>
      <c r="G131" s="199">
        <v>6</v>
      </c>
      <c r="H131" s="200">
        <f t="shared" si="25"/>
        <v>2195.4899999999998</v>
      </c>
      <c r="I131" s="200">
        <f t="shared" si="39"/>
        <v>2247.39</v>
      </c>
      <c r="J131" s="201">
        <f t="shared" si="36"/>
        <v>13484.34</v>
      </c>
      <c r="K131" s="202">
        <f t="shared" si="30"/>
        <v>13172.939999999999</v>
      </c>
      <c r="L131" s="203">
        <f t="shared" ref="L131:L141" si="40">+J131-K131</f>
        <v>311.40000000000146</v>
      </c>
      <c r="M131" s="204">
        <f t="shared" si="26"/>
        <v>9.9378677649336744</v>
      </c>
      <c r="N131" s="205">
        <f t="shared" si="27"/>
        <v>321.33786776493514</v>
      </c>
      <c r="O131" s="204">
        <v>0</v>
      </c>
      <c r="P131" s="204">
        <v>0</v>
      </c>
      <c r="Q131" s="204">
        <v>0</v>
      </c>
      <c r="R131" s="205">
        <f t="shared" si="28"/>
        <v>321.33786776493514</v>
      </c>
    </row>
    <row r="132" spans="1:18" x14ac:dyDescent="0.2">
      <c r="A132" s="161">
        <v>5</v>
      </c>
      <c r="B132" s="196">
        <f t="shared" si="35"/>
        <v>44317</v>
      </c>
      <c r="C132" s="219">
        <f t="shared" si="37"/>
        <v>44350</v>
      </c>
      <c r="D132" s="219">
        <f t="shared" si="37"/>
        <v>44371</v>
      </c>
      <c r="E132" s="54" t="s">
        <v>15</v>
      </c>
      <c r="F132" s="236">
        <v>9</v>
      </c>
      <c r="G132" s="199">
        <v>4</v>
      </c>
      <c r="H132" s="200">
        <f t="shared" si="25"/>
        <v>2195.4899999999998</v>
      </c>
      <c r="I132" s="200">
        <f t="shared" si="39"/>
        <v>2247.39</v>
      </c>
      <c r="J132" s="201">
        <f t="shared" si="36"/>
        <v>8989.56</v>
      </c>
      <c r="K132" s="202">
        <f t="shared" si="30"/>
        <v>8781.9599999999991</v>
      </c>
      <c r="L132" s="203">
        <f t="shared" si="40"/>
        <v>207.60000000000036</v>
      </c>
      <c r="M132" s="204">
        <f t="shared" si="26"/>
        <v>6.6252451766224496</v>
      </c>
      <c r="N132" s="205">
        <f t="shared" si="27"/>
        <v>214.22524517662282</v>
      </c>
      <c r="O132" s="204">
        <v>0</v>
      </c>
      <c r="P132" s="204">
        <v>0</v>
      </c>
      <c r="Q132" s="204">
        <v>0</v>
      </c>
      <c r="R132" s="205">
        <f t="shared" si="28"/>
        <v>214.22524517662282</v>
      </c>
    </row>
    <row r="133" spans="1:18" x14ac:dyDescent="0.2">
      <c r="A133" s="161">
        <v>6</v>
      </c>
      <c r="B133" s="196">
        <f t="shared" si="35"/>
        <v>44348</v>
      </c>
      <c r="C133" s="219">
        <f t="shared" si="37"/>
        <v>44383</v>
      </c>
      <c r="D133" s="219">
        <f t="shared" si="37"/>
        <v>44401</v>
      </c>
      <c r="E133" s="54" t="s">
        <v>15</v>
      </c>
      <c r="F133" s="236">
        <v>9</v>
      </c>
      <c r="G133" s="199">
        <v>13</v>
      </c>
      <c r="H133" s="200">
        <f t="shared" si="25"/>
        <v>2195.4899999999998</v>
      </c>
      <c r="I133" s="200">
        <f t="shared" si="39"/>
        <v>2247.39</v>
      </c>
      <c r="J133" s="201">
        <f t="shared" si="36"/>
        <v>29216.07</v>
      </c>
      <c r="K133" s="202">
        <f t="shared" si="30"/>
        <v>28541.369999999995</v>
      </c>
      <c r="L133" s="207">
        <f t="shared" si="40"/>
        <v>674.70000000000437</v>
      </c>
      <c r="M133" s="204">
        <f t="shared" si="26"/>
        <v>21.532046824022963</v>
      </c>
      <c r="N133" s="205">
        <f t="shared" si="27"/>
        <v>696.23204682402729</v>
      </c>
      <c r="O133" s="204">
        <v>0</v>
      </c>
      <c r="P133" s="204">
        <v>0</v>
      </c>
      <c r="Q133" s="204">
        <v>0</v>
      </c>
      <c r="R133" s="205">
        <f t="shared" si="28"/>
        <v>696.23204682402729</v>
      </c>
    </row>
    <row r="134" spans="1:18" x14ac:dyDescent="0.2">
      <c r="A134" s="124">
        <v>7</v>
      </c>
      <c r="B134" s="196">
        <f t="shared" si="35"/>
        <v>44378</v>
      </c>
      <c r="C134" s="219">
        <f t="shared" si="37"/>
        <v>44412</v>
      </c>
      <c r="D134" s="219">
        <f t="shared" si="37"/>
        <v>44432</v>
      </c>
      <c r="E134" s="54" t="s">
        <v>15</v>
      </c>
      <c r="F134" s="236">
        <v>9</v>
      </c>
      <c r="G134" s="199">
        <v>17</v>
      </c>
      <c r="H134" s="200">
        <f t="shared" si="25"/>
        <v>2195.4899999999998</v>
      </c>
      <c r="I134" s="200">
        <f t="shared" si="39"/>
        <v>2247.39</v>
      </c>
      <c r="J134" s="201">
        <f t="shared" si="36"/>
        <v>38205.629999999997</v>
      </c>
      <c r="K134" s="208">
        <f t="shared" ref="K134:K197" si="41">+$G134*H134</f>
        <v>37323.329999999994</v>
      </c>
      <c r="L134" s="207">
        <f t="shared" si="40"/>
        <v>882.30000000000291</v>
      </c>
      <c r="M134" s="204">
        <f t="shared" si="26"/>
        <v>28.157292000645413</v>
      </c>
      <c r="N134" s="205">
        <f t="shared" si="27"/>
        <v>910.45729200064829</v>
      </c>
      <c r="O134" s="204">
        <v>0</v>
      </c>
      <c r="P134" s="204">
        <v>0</v>
      </c>
      <c r="Q134" s="204">
        <v>0</v>
      </c>
      <c r="R134" s="205">
        <f t="shared" si="28"/>
        <v>910.45729200064829</v>
      </c>
    </row>
    <row r="135" spans="1:18" x14ac:dyDescent="0.2">
      <c r="A135" s="161">
        <v>8</v>
      </c>
      <c r="B135" s="196">
        <f t="shared" si="35"/>
        <v>44409</v>
      </c>
      <c r="C135" s="219">
        <f t="shared" si="37"/>
        <v>44442</v>
      </c>
      <c r="D135" s="219">
        <f t="shared" si="37"/>
        <v>44463</v>
      </c>
      <c r="E135" s="54" t="s">
        <v>15</v>
      </c>
      <c r="F135" s="236">
        <v>9</v>
      </c>
      <c r="G135" s="199">
        <v>17</v>
      </c>
      <c r="H135" s="200">
        <f t="shared" si="25"/>
        <v>2195.4899999999998</v>
      </c>
      <c r="I135" s="200">
        <f t="shared" si="39"/>
        <v>2247.39</v>
      </c>
      <c r="J135" s="201">
        <f t="shared" si="36"/>
        <v>38205.629999999997</v>
      </c>
      <c r="K135" s="208">
        <f t="shared" si="41"/>
        <v>37323.329999999994</v>
      </c>
      <c r="L135" s="207">
        <f t="shared" si="40"/>
        <v>882.30000000000291</v>
      </c>
      <c r="M135" s="204">
        <f t="shared" si="26"/>
        <v>28.157292000645413</v>
      </c>
      <c r="N135" s="205">
        <f t="shared" si="27"/>
        <v>910.45729200064829</v>
      </c>
      <c r="O135" s="204">
        <v>0</v>
      </c>
      <c r="P135" s="204">
        <v>0</v>
      </c>
      <c r="Q135" s="204">
        <v>0</v>
      </c>
      <c r="R135" s="205">
        <f t="shared" si="28"/>
        <v>910.45729200064829</v>
      </c>
    </row>
    <row r="136" spans="1:18" x14ac:dyDescent="0.2">
      <c r="A136" s="161">
        <v>9</v>
      </c>
      <c r="B136" s="196">
        <f t="shared" si="35"/>
        <v>44440</v>
      </c>
      <c r="C136" s="219">
        <f t="shared" si="37"/>
        <v>44474</v>
      </c>
      <c r="D136" s="219">
        <f t="shared" si="37"/>
        <v>44494</v>
      </c>
      <c r="E136" s="54" t="s">
        <v>15</v>
      </c>
      <c r="F136" s="236">
        <v>9</v>
      </c>
      <c r="G136" s="199">
        <v>16</v>
      </c>
      <c r="H136" s="200">
        <f t="shared" si="25"/>
        <v>2195.4899999999998</v>
      </c>
      <c r="I136" s="200">
        <f t="shared" si="39"/>
        <v>2247.39</v>
      </c>
      <c r="J136" s="201">
        <f t="shared" si="36"/>
        <v>35958.239999999998</v>
      </c>
      <c r="K136" s="208">
        <f t="shared" si="41"/>
        <v>35127.839999999997</v>
      </c>
      <c r="L136" s="207">
        <f t="shared" si="40"/>
        <v>830.40000000000146</v>
      </c>
      <c r="M136" s="204">
        <f t="shared" si="26"/>
        <v>26.500980706489798</v>
      </c>
      <c r="N136" s="205">
        <f t="shared" si="27"/>
        <v>856.90098070649128</v>
      </c>
      <c r="O136" s="204">
        <v>0</v>
      </c>
      <c r="P136" s="204">
        <v>0</v>
      </c>
      <c r="Q136" s="204">
        <v>0</v>
      </c>
      <c r="R136" s="205">
        <f t="shared" si="28"/>
        <v>856.90098070649128</v>
      </c>
    </row>
    <row r="137" spans="1:18" x14ac:dyDescent="0.2">
      <c r="A137" s="124">
        <v>10</v>
      </c>
      <c r="B137" s="196">
        <f t="shared" si="35"/>
        <v>44470</v>
      </c>
      <c r="C137" s="219">
        <f t="shared" si="37"/>
        <v>44503</v>
      </c>
      <c r="D137" s="219">
        <f t="shared" si="37"/>
        <v>44524</v>
      </c>
      <c r="E137" s="54" t="s">
        <v>15</v>
      </c>
      <c r="F137" s="236">
        <v>9</v>
      </c>
      <c r="G137" s="199">
        <v>5</v>
      </c>
      <c r="H137" s="200">
        <f t="shared" si="25"/>
        <v>2195.4899999999998</v>
      </c>
      <c r="I137" s="200">
        <f t="shared" si="39"/>
        <v>2247.39</v>
      </c>
      <c r="J137" s="201">
        <f t="shared" si="36"/>
        <v>11236.949999999999</v>
      </c>
      <c r="K137" s="208">
        <f t="shared" si="41"/>
        <v>10977.449999999999</v>
      </c>
      <c r="L137" s="207">
        <f t="shared" si="40"/>
        <v>259.5</v>
      </c>
      <c r="M137" s="204">
        <f t="shared" si="26"/>
        <v>8.281556470778062</v>
      </c>
      <c r="N137" s="205">
        <f t="shared" si="27"/>
        <v>267.78155647077807</v>
      </c>
      <c r="O137" s="204">
        <v>0</v>
      </c>
      <c r="P137" s="204">
        <v>0</v>
      </c>
      <c r="Q137" s="204">
        <v>0</v>
      </c>
      <c r="R137" s="205">
        <f t="shared" si="28"/>
        <v>267.78155647077807</v>
      </c>
    </row>
    <row r="138" spans="1:18" x14ac:dyDescent="0.2">
      <c r="A138" s="161">
        <v>11</v>
      </c>
      <c r="B138" s="196">
        <f t="shared" si="35"/>
        <v>44501</v>
      </c>
      <c r="C138" s="219">
        <f t="shared" si="37"/>
        <v>44533</v>
      </c>
      <c r="D138" s="219">
        <f t="shared" si="37"/>
        <v>44557</v>
      </c>
      <c r="E138" s="54" t="s">
        <v>15</v>
      </c>
      <c r="F138" s="236">
        <v>9</v>
      </c>
      <c r="G138" s="199">
        <v>5</v>
      </c>
      <c r="H138" s="200">
        <f t="shared" si="25"/>
        <v>2195.4899999999998</v>
      </c>
      <c r="I138" s="200">
        <f t="shared" si="39"/>
        <v>2247.39</v>
      </c>
      <c r="J138" s="201">
        <f t="shared" si="36"/>
        <v>11236.949999999999</v>
      </c>
      <c r="K138" s="208">
        <f t="shared" si="41"/>
        <v>10977.449999999999</v>
      </c>
      <c r="L138" s="207">
        <f t="shared" si="40"/>
        <v>259.5</v>
      </c>
      <c r="M138" s="204">
        <f t="shared" si="26"/>
        <v>8.281556470778062</v>
      </c>
      <c r="N138" s="205">
        <f t="shared" si="27"/>
        <v>267.78155647077807</v>
      </c>
      <c r="O138" s="204">
        <v>0</v>
      </c>
      <c r="P138" s="204">
        <v>0</v>
      </c>
      <c r="Q138" s="204">
        <v>0</v>
      </c>
      <c r="R138" s="205">
        <f t="shared" si="28"/>
        <v>267.78155647077807</v>
      </c>
    </row>
    <row r="139" spans="1:18" s="223" customFormat="1" x14ac:dyDescent="0.2">
      <c r="A139" s="161">
        <v>12</v>
      </c>
      <c r="B139" s="221">
        <f t="shared" si="35"/>
        <v>44531</v>
      </c>
      <c r="C139" s="219">
        <f t="shared" si="37"/>
        <v>44566</v>
      </c>
      <c r="D139" s="219">
        <f t="shared" si="37"/>
        <v>44585</v>
      </c>
      <c r="E139" s="222" t="s">
        <v>15</v>
      </c>
      <c r="F139" s="238">
        <v>9</v>
      </c>
      <c r="G139" s="211">
        <v>6</v>
      </c>
      <c r="H139" s="212">
        <f t="shared" si="25"/>
        <v>2195.4899999999998</v>
      </c>
      <c r="I139" s="212">
        <f t="shared" si="39"/>
        <v>2247.39</v>
      </c>
      <c r="J139" s="213">
        <f t="shared" si="36"/>
        <v>13484.34</v>
      </c>
      <c r="K139" s="214">
        <f t="shared" si="41"/>
        <v>13172.939999999999</v>
      </c>
      <c r="L139" s="215">
        <f t="shared" si="40"/>
        <v>311.40000000000146</v>
      </c>
      <c r="M139" s="204">
        <f t="shared" si="26"/>
        <v>9.9378677649336744</v>
      </c>
      <c r="N139" s="205">
        <f t="shared" si="27"/>
        <v>321.33786776493514</v>
      </c>
      <c r="O139" s="204">
        <v>0</v>
      </c>
      <c r="P139" s="204">
        <v>0</v>
      </c>
      <c r="Q139" s="204">
        <v>0</v>
      </c>
      <c r="R139" s="205">
        <f t="shared" si="28"/>
        <v>321.33786776493514</v>
      </c>
    </row>
    <row r="140" spans="1:18" x14ac:dyDescent="0.2">
      <c r="A140" s="124">
        <v>1</v>
      </c>
      <c r="B140" s="196">
        <f t="shared" si="35"/>
        <v>44197</v>
      </c>
      <c r="C140" s="217">
        <f t="shared" ref="C140:D151" si="42">+C128</f>
        <v>44230</v>
      </c>
      <c r="D140" s="217">
        <f t="shared" si="42"/>
        <v>44251</v>
      </c>
      <c r="E140" s="226" t="s">
        <v>16</v>
      </c>
      <c r="F140" s="236">
        <v>9</v>
      </c>
      <c r="G140" s="199">
        <v>3</v>
      </c>
      <c r="H140" s="200">
        <f t="shared" si="25"/>
        <v>2195.4899999999998</v>
      </c>
      <c r="I140" s="200">
        <f t="shared" si="39"/>
        <v>2247.39</v>
      </c>
      <c r="J140" s="201">
        <f t="shared" si="36"/>
        <v>6742.17</v>
      </c>
      <c r="K140" s="202">
        <f t="shared" si="41"/>
        <v>6586.4699999999993</v>
      </c>
      <c r="L140" s="203">
        <f t="shared" si="40"/>
        <v>155.70000000000073</v>
      </c>
      <c r="M140" s="204">
        <f t="shared" si="26"/>
        <v>4.9689338824668372</v>
      </c>
      <c r="N140" s="205">
        <f t="shared" si="27"/>
        <v>160.66893388246757</v>
      </c>
      <c r="O140" s="204">
        <v>0</v>
      </c>
      <c r="P140" s="204">
        <v>0</v>
      </c>
      <c r="Q140" s="204">
        <v>0</v>
      </c>
      <c r="R140" s="205">
        <f t="shared" si="28"/>
        <v>160.66893388246757</v>
      </c>
    </row>
    <row r="141" spans="1:18" x14ac:dyDescent="0.2">
      <c r="A141" s="161">
        <v>2</v>
      </c>
      <c r="B141" s="196">
        <f t="shared" si="35"/>
        <v>44228</v>
      </c>
      <c r="C141" s="219">
        <f t="shared" si="42"/>
        <v>44258</v>
      </c>
      <c r="D141" s="219">
        <f t="shared" si="42"/>
        <v>44279</v>
      </c>
      <c r="E141" s="54" t="s">
        <v>16</v>
      </c>
      <c r="F141" s="236">
        <v>9</v>
      </c>
      <c r="G141" s="199">
        <v>5</v>
      </c>
      <c r="H141" s="200">
        <f t="shared" si="25"/>
        <v>2195.4899999999998</v>
      </c>
      <c r="I141" s="200">
        <f t="shared" si="39"/>
        <v>2247.39</v>
      </c>
      <c r="J141" s="201">
        <f t="shared" si="36"/>
        <v>11236.949999999999</v>
      </c>
      <c r="K141" s="202">
        <f t="shared" si="41"/>
        <v>10977.449999999999</v>
      </c>
      <c r="L141" s="203">
        <f t="shared" si="40"/>
        <v>259.5</v>
      </c>
      <c r="M141" s="204">
        <f t="shared" si="26"/>
        <v>8.281556470778062</v>
      </c>
      <c r="N141" s="205">
        <f t="shared" si="27"/>
        <v>267.78155647077807</v>
      </c>
      <c r="O141" s="204">
        <v>0</v>
      </c>
      <c r="P141" s="204">
        <v>0</v>
      </c>
      <c r="Q141" s="204">
        <v>0</v>
      </c>
      <c r="R141" s="205">
        <f t="shared" si="28"/>
        <v>267.78155647077807</v>
      </c>
    </row>
    <row r="142" spans="1:18" x14ac:dyDescent="0.2">
      <c r="A142" s="161">
        <v>3</v>
      </c>
      <c r="B142" s="196">
        <f t="shared" si="35"/>
        <v>44256</v>
      </c>
      <c r="C142" s="219">
        <f t="shared" si="42"/>
        <v>44291</v>
      </c>
      <c r="D142" s="219">
        <f t="shared" si="42"/>
        <v>44312</v>
      </c>
      <c r="E142" s="54" t="s">
        <v>16</v>
      </c>
      <c r="F142" s="236">
        <v>9</v>
      </c>
      <c r="G142" s="199">
        <v>4</v>
      </c>
      <c r="H142" s="200">
        <f t="shared" si="25"/>
        <v>2195.4899999999998</v>
      </c>
      <c r="I142" s="200">
        <f t="shared" si="39"/>
        <v>2247.39</v>
      </c>
      <c r="J142" s="201">
        <f t="shared" si="36"/>
        <v>8989.56</v>
      </c>
      <c r="K142" s="202">
        <f t="shared" si="41"/>
        <v>8781.9599999999991</v>
      </c>
      <c r="L142" s="203">
        <f>+J142-K142</f>
        <v>207.60000000000036</v>
      </c>
      <c r="M142" s="204">
        <f t="shared" si="26"/>
        <v>6.6252451766224496</v>
      </c>
      <c r="N142" s="205">
        <f t="shared" si="27"/>
        <v>214.22524517662282</v>
      </c>
      <c r="O142" s="204">
        <v>0</v>
      </c>
      <c r="P142" s="204">
        <v>0</v>
      </c>
      <c r="Q142" s="204">
        <v>0</v>
      </c>
      <c r="R142" s="205">
        <f t="shared" si="28"/>
        <v>214.22524517662282</v>
      </c>
    </row>
    <row r="143" spans="1:18" x14ac:dyDescent="0.2">
      <c r="A143" s="124">
        <v>4</v>
      </c>
      <c r="B143" s="196">
        <f t="shared" si="35"/>
        <v>44287</v>
      </c>
      <c r="C143" s="219">
        <f t="shared" si="42"/>
        <v>44321</v>
      </c>
      <c r="D143" s="219">
        <f t="shared" si="42"/>
        <v>44340</v>
      </c>
      <c r="E143" s="54" t="s">
        <v>16</v>
      </c>
      <c r="F143" s="236">
        <v>9</v>
      </c>
      <c r="G143" s="199">
        <v>4</v>
      </c>
      <c r="H143" s="200">
        <f t="shared" si="25"/>
        <v>2195.4899999999998</v>
      </c>
      <c r="I143" s="200">
        <f t="shared" si="39"/>
        <v>2247.39</v>
      </c>
      <c r="J143" s="201">
        <f t="shared" si="36"/>
        <v>8989.56</v>
      </c>
      <c r="K143" s="202">
        <f t="shared" si="41"/>
        <v>8781.9599999999991</v>
      </c>
      <c r="L143" s="203">
        <f t="shared" ref="L143:L153" si="43">+J143-K143</f>
        <v>207.60000000000036</v>
      </c>
      <c r="M143" s="204">
        <f t="shared" si="26"/>
        <v>6.6252451766224496</v>
      </c>
      <c r="N143" s="205">
        <f t="shared" si="27"/>
        <v>214.22524517662282</v>
      </c>
      <c r="O143" s="204">
        <v>0</v>
      </c>
      <c r="P143" s="204">
        <v>0</v>
      </c>
      <c r="Q143" s="204">
        <v>0</v>
      </c>
      <c r="R143" s="205">
        <f t="shared" si="28"/>
        <v>214.22524517662282</v>
      </c>
    </row>
    <row r="144" spans="1:18" x14ac:dyDescent="0.2">
      <c r="A144" s="161">
        <v>5</v>
      </c>
      <c r="B144" s="196">
        <f t="shared" si="35"/>
        <v>44317</v>
      </c>
      <c r="C144" s="219">
        <f t="shared" si="42"/>
        <v>44350</v>
      </c>
      <c r="D144" s="219">
        <f t="shared" si="42"/>
        <v>44371</v>
      </c>
      <c r="E144" s="54" t="s">
        <v>16</v>
      </c>
      <c r="F144" s="236">
        <v>9</v>
      </c>
      <c r="G144" s="199">
        <v>3</v>
      </c>
      <c r="H144" s="200">
        <f t="shared" si="25"/>
        <v>2195.4899999999998</v>
      </c>
      <c r="I144" s="200">
        <f t="shared" si="39"/>
        <v>2247.39</v>
      </c>
      <c r="J144" s="201">
        <f t="shared" si="36"/>
        <v>6742.17</v>
      </c>
      <c r="K144" s="202">
        <f t="shared" si="41"/>
        <v>6586.4699999999993</v>
      </c>
      <c r="L144" s="203">
        <f t="shared" si="43"/>
        <v>155.70000000000073</v>
      </c>
      <c r="M144" s="204">
        <f t="shared" si="26"/>
        <v>4.9689338824668372</v>
      </c>
      <c r="N144" s="205">
        <f t="shared" si="27"/>
        <v>160.66893388246757</v>
      </c>
      <c r="O144" s="204">
        <v>0</v>
      </c>
      <c r="P144" s="204">
        <v>0</v>
      </c>
      <c r="Q144" s="204">
        <v>0</v>
      </c>
      <c r="R144" s="205">
        <f t="shared" si="28"/>
        <v>160.66893388246757</v>
      </c>
    </row>
    <row r="145" spans="1:19" x14ac:dyDescent="0.2">
      <c r="A145" s="161">
        <v>6</v>
      </c>
      <c r="B145" s="196">
        <f t="shared" si="35"/>
        <v>44348</v>
      </c>
      <c r="C145" s="219">
        <f t="shared" si="42"/>
        <v>44383</v>
      </c>
      <c r="D145" s="219">
        <f t="shared" si="42"/>
        <v>44401</v>
      </c>
      <c r="E145" s="54" t="s">
        <v>16</v>
      </c>
      <c r="F145" s="236">
        <v>9</v>
      </c>
      <c r="G145" s="199">
        <v>5</v>
      </c>
      <c r="H145" s="200">
        <f t="shared" si="25"/>
        <v>2195.4899999999998</v>
      </c>
      <c r="I145" s="200">
        <f t="shared" si="39"/>
        <v>2247.39</v>
      </c>
      <c r="J145" s="201">
        <f t="shared" si="36"/>
        <v>11236.949999999999</v>
      </c>
      <c r="K145" s="202">
        <f t="shared" si="41"/>
        <v>10977.449999999999</v>
      </c>
      <c r="L145" s="207">
        <f t="shared" si="43"/>
        <v>259.5</v>
      </c>
      <c r="M145" s="204">
        <f t="shared" si="26"/>
        <v>8.281556470778062</v>
      </c>
      <c r="N145" s="205">
        <f t="shared" si="27"/>
        <v>267.78155647077807</v>
      </c>
      <c r="O145" s="204">
        <v>0</v>
      </c>
      <c r="P145" s="204">
        <v>0</v>
      </c>
      <c r="Q145" s="204">
        <v>0</v>
      </c>
      <c r="R145" s="205">
        <f t="shared" si="28"/>
        <v>267.78155647077807</v>
      </c>
    </row>
    <row r="146" spans="1:19" x14ac:dyDescent="0.2">
      <c r="A146" s="124">
        <v>7</v>
      </c>
      <c r="B146" s="196">
        <f t="shared" si="35"/>
        <v>44378</v>
      </c>
      <c r="C146" s="219">
        <f t="shared" si="42"/>
        <v>44412</v>
      </c>
      <c r="D146" s="219">
        <f t="shared" si="42"/>
        <v>44432</v>
      </c>
      <c r="E146" s="54" t="s">
        <v>16</v>
      </c>
      <c r="F146" s="236">
        <v>9</v>
      </c>
      <c r="G146" s="199">
        <v>5</v>
      </c>
      <c r="H146" s="200">
        <f t="shared" si="25"/>
        <v>2195.4899999999998</v>
      </c>
      <c r="I146" s="200">
        <f t="shared" si="39"/>
        <v>2247.39</v>
      </c>
      <c r="J146" s="201">
        <f t="shared" si="36"/>
        <v>11236.949999999999</v>
      </c>
      <c r="K146" s="208">
        <f t="shared" si="41"/>
        <v>10977.449999999999</v>
      </c>
      <c r="L146" s="207">
        <f t="shared" si="43"/>
        <v>259.5</v>
      </c>
      <c r="M146" s="204">
        <f t="shared" si="26"/>
        <v>8.281556470778062</v>
      </c>
      <c r="N146" s="205">
        <f t="shared" si="27"/>
        <v>267.78155647077807</v>
      </c>
      <c r="O146" s="204">
        <v>0</v>
      </c>
      <c r="P146" s="204">
        <v>0</v>
      </c>
      <c r="Q146" s="204">
        <v>0</v>
      </c>
      <c r="R146" s="205">
        <f t="shared" si="28"/>
        <v>267.78155647077807</v>
      </c>
    </row>
    <row r="147" spans="1:19" x14ac:dyDescent="0.2">
      <c r="A147" s="161">
        <v>8</v>
      </c>
      <c r="B147" s="196">
        <f t="shared" si="35"/>
        <v>44409</v>
      </c>
      <c r="C147" s="219">
        <f t="shared" si="42"/>
        <v>44442</v>
      </c>
      <c r="D147" s="219">
        <f t="shared" si="42"/>
        <v>44463</v>
      </c>
      <c r="E147" s="54" t="s">
        <v>16</v>
      </c>
      <c r="F147" s="236">
        <v>9</v>
      </c>
      <c r="G147" s="199">
        <v>4</v>
      </c>
      <c r="H147" s="200">
        <f t="shared" si="25"/>
        <v>2195.4899999999998</v>
      </c>
      <c r="I147" s="200">
        <f t="shared" si="39"/>
        <v>2247.39</v>
      </c>
      <c r="J147" s="201">
        <f t="shared" si="36"/>
        <v>8989.56</v>
      </c>
      <c r="K147" s="208">
        <f t="shared" si="41"/>
        <v>8781.9599999999991</v>
      </c>
      <c r="L147" s="207">
        <f t="shared" si="43"/>
        <v>207.60000000000036</v>
      </c>
      <c r="M147" s="204">
        <f t="shared" si="26"/>
        <v>6.6252451766224496</v>
      </c>
      <c r="N147" s="205">
        <f t="shared" si="27"/>
        <v>214.22524517662282</v>
      </c>
      <c r="O147" s="204">
        <v>0</v>
      </c>
      <c r="P147" s="204">
        <v>0</v>
      </c>
      <c r="Q147" s="204">
        <v>0</v>
      </c>
      <c r="R147" s="205">
        <f t="shared" si="28"/>
        <v>214.22524517662282</v>
      </c>
    </row>
    <row r="148" spans="1:19" x14ac:dyDescent="0.2">
      <c r="A148" s="161">
        <v>9</v>
      </c>
      <c r="B148" s="196">
        <f t="shared" si="35"/>
        <v>44440</v>
      </c>
      <c r="C148" s="219">
        <f t="shared" si="42"/>
        <v>44474</v>
      </c>
      <c r="D148" s="219">
        <f t="shared" si="42"/>
        <v>44494</v>
      </c>
      <c r="E148" s="54" t="s">
        <v>16</v>
      </c>
      <c r="F148" s="236">
        <v>9</v>
      </c>
      <c r="G148" s="199">
        <v>4</v>
      </c>
      <c r="H148" s="200">
        <f t="shared" si="25"/>
        <v>2195.4899999999998</v>
      </c>
      <c r="I148" s="200">
        <f t="shared" ref="I148:I179" si="44">$J$3</f>
        <v>2247.39</v>
      </c>
      <c r="J148" s="201">
        <f t="shared" si="36"/>
        <v>8989.56</v>
      </c>
      <c r="K148" s="208">
        <f t="shared" si="41"/>
        <v>8781.9599999999991</v>
      </c>
      <c r="L148" s="207">
        <f t="shared" si="43"/>
        <v>207.60000000000036</v>
      </c>
      <c r="M148" s="204">
        <f t="shared" si="26"/>
        <v>6.6252451766224496</v>
      </c>
      <c r="N148" s="205">
        <f t="shared" si="27"/>
        <v>214.22524517662282</v>
      </c>
      <c r="O148" s="204">
        <v>0</v>
      </c>
      <c r="P148" s="204">
        <v>0</v>
      </c>
      <c r="Q148" s="204">
        <v>0</v>
      </c>
      <c r="R148" s="205">
        <f t="shared" si="28"/>
        <v>214.22524517662282</v>
      </c>
    </row>
    <row r="149" spans="1:19" x14ac:dyDescent="0.2">
      <c r="A149" s="124">
        <v>10</v>
      </c>
      <c r="B149" s="196">
        <f t="shared" ref="B149:B211" si="45">DATE($R$1,A149,1)</f>
        <v>44470</v>
      </c>
      <c r="C149" s="219">
        <f t="shared" si="42"/>
        <v>44503</v>
      </c>
      <c r="D149" s="219">
        <f t="shared" si="42"/>
        <v>44524</v>
      </c>
      <c r="E149" s="54" t="s">
        <v>16</v>
      </c>
      <c r="F149" s="236">
        <v>9</v>
      </c>
      <c r="G149" s="199">
        <v>4</v>
      </c>
      <c r="H149" s="200">
        <f t="shared" ref="H149:H211" si="46">+$K$3</f>
        <v>2195.4899999999998</v>
      </c>
      <c r="I149" s="200">
        <f t="shared" si="44"/>
        <v>2247.39</v>
      </c>
      <c r="J149" s="201">
        <f t="shared" ref="J149:J211" si="47">+$G149*I149</f>
        <v>8989.56</v>
      </c>
      <c r="K149" s="208">
        <f t="shared" si="41"/>
        <v>8781.9599999999991</v>
      </c>
      <c r="L149" s="207">
        <f t="shared" si="43"/>
        <v>207.60000000000036</v>
      </c>
      <c r="M149" s="204">
        <f t="shared" ref="M149:M211" si="48">G149/$G$212*$M$14</f>
        <v>6.6252451766224496</v>
      </c>
      <c r="N149" s="205">
        <f t="shared" ref="N149:N211" si="49">SUM(L149:M149)</f>
        <v>214.22524517662282</v>
      </c>
      <c r="O149" s="204">
        <v>0</v>
      </c>
      <c r="P149" s="204">
        <v>0</v>
      </c>
      <c r="Q149" s="204">
        <v>0</v>
      </c>
      <c r="R149" s="205">
        <f t="shared" ref="R149:R211" si="50">+N149-Q149</f>
        <v>214.22524517662282</v>
      </c>
    </row>
    <row r="150" spans="1:19" x14ac:dyDescent="0.2">
      <c r="A150" s="161">
        <v>11</v>
      </c>
      <c r="B150" s="196">
        <f t="shared" si="45"/>
        <v>44501</v>
      </c>
      <c r="C150" s="219">
        <f t="shared" si="42"/>
        <v>44533</v>
      </c>
      <c r="D150" s="219">
        <f t="shared" si="42"/>
        <v>44557</v>
      </c>
      <c r="E150" s="54" t="s">
        <v>16</v>
      </c>
      <c r="F150" s="236">
        <v>9</v>
      </c>
      <c r="G150" s="199">
        <v>4</v>
      </c>
      <c r="H150" s="200">
        <f t="shared" si="46"/>
        <v>2195.4899999999998</v>
      </c>
      <c r="I150" s="200">
        <f t="shared" si="44"/>
        <v>2247.39</v>
      </c>
      <c r="J150" s="201">
        <f t="shared" si="47"/>
        <v>8989.56</v>
      </c>
      <c r="K150" s="208">
        <f t="shared" si="41"/>
        <v>8781.9599999999991</v>
      </c>
      <c r="L150" s="207">
        <f t="shared" si="43"/>
        <v>207.60000000000036</v>
      </c>
      <c r="M150" s="204">
        <f t="shared" si="48"/>
        <v>6.6252451766224496</v>
      </c>
      <c r="N150" s="205">
        <f t="shared" si="49"/>
        <v>214.22524517662282</v>
      </c>
      <c r="O150" s="204">
        <v>0</v>
      </c>
      <c r="P150" s="204">
        <v>0</v>
      </c>
      <c r="Q150" s="204">
        <v>0</v>
      </c>
      <c r="R150" s="205">
        <f t="shared" si="50"/>
        <v>214.22524517662282</v>
      </c>
    </row>
    <row r="151" spans="1:19" s="223" customFormat="1" x14ac:dyDescent="0.2">
      <c r="A151" s="161">
        <v>12</v>
      </c>
      <c r="B151" s="221">
        <f t="shared" si="45"/>
        <v>44531</v>
      </c>
      <c r="C151" s="219">
        <f t="shared" si="42"/>
        <v>44566</v>
      </c>
      <c r="D151" s="219">
        <f t="shared" si="42"/>
        <v>44585</v>
      </c>
      <c r="E151" s="222" t="s">
        <v>16</v>
      </c>
      <c r="F151" s="238">
        <v>9</v>
      </c>
      <c r="G151" s="211">
        <v>1</v>
      </c>
      <c r="H151" s="212">
        <f t="shared" si="46"/>
        <v>2195.4899999999998</v>
      </c>
      <c r="I151" s="212">
        <f t="shared" si="44"/>
        <v>2247.39</v>
      </c>
      <c r="J151" s="213">
        <f t="shared" si="47"/>
        <v>2247.39</v>
      </c>
      <c r="K151" s="214">
        <f t="shared" si="41"/>
        <v>2195.4899999999998</v>
      </c>
      <c r="L151" s="215">
        <f t="shared" si="43"/>
        <v>51.900000000000091</v>
      </c>
      <c r="M151" s="204">
        <f t="shared" si="48"/>
        <v>1.6563112941556124</v>
      </c>
      <c r="N151" s="205">
        <f t="shared" si="49"/>
        <v>53.556311294155705</v>
      </c>
      <c r="O151" s="204">
        <v>0</v>
      </c>
      <c r="P151" s="204">
        <v>0</v>
      </c>
      <c r="Q151" s="204">
        <v>0</v>
      </c>
      <c r="R151" s="205">
        <f t="shared" si="50"/>
        <v>53.556311294155705</v>
      </c>
    </row>
    <row r="152" spans="1:19" x14ac:dyDescent="0.2">
      <c r="A152" s="124">
        <v>1</v>
      </c>
      <c r="B152" s="196">
        <f t="shared" si="45"/>
        <v>44197</v>
      </c>
      <c r="C152" s="217">
        <f t="shared" ref="C152:D171" si="51">+C140</f>
        <v>44230</v>
      </c>
      <c r="D152" s="217">
        <f t="shared" si="51"/>
        <v>44251</v>
      </c>
      <c r="E152" s="226" t="s">
        <v>54</v>
      </c>
      <c r="F152" s="148">
        <v>9</v>
      </c>
      <c r="G152" s="199">
        <v>104</v>
      </c>
      <c r="H152" s="200">
        <f t="shared" si="46"/>
        <v>2195.4899999999998</v>
      </c>
      <c r="I152" s="200">
        <f t="shared" si="44"/>
        <v>2247.39</v>
      </c>
      <c r="J152" s="201">
        <f t="shared" si="47"/>
        <v>233728.56</v>
      </c>
      <c r="K152" s="202">
        <f t="shared" si="41"/>
        <v>228330.95999999996</v>
      </c>
      <c r="L152" s="203">
        <f t="shared" si="43"/>
        <v>5397.6000000000349</v>
      </c>
      <c r="M152" s="204">
        <f t="shared" si="48"/>
        <v>172.2563745921837</v>
      </c>
      <c r="N152" s="205">
        <f t="shared" si="49"/>
        <v>5569.8563745922183</v>
      </c>
      <c r="O152" s="204">
        <v>0</v>
      </c>
      <c r="P152" s="204">
        <v>0</v>
      </c>
      <c r="Q152" s="204">
        <v>0</v>
      </c>
      <c r="R152" s="205">
        <f t="shared" si="50"/>
        <v>5569.8563745922183</v>
      </c>
    </row>
    <row r="153" spans="1:19" x14ac:dyDescent="0.2">
      <c r="A153" s="161">
        <v>2</v>
      </c>
      <c r="B153" s="196">
        <f t="shared" si="45"/>
        <v>44228</v>
      </c>
      <c r="C153" s="219">
        <f t="shared" si="51"/>
        <v>44258</v>
      </c>
      <c r="D153" s="219">
        <f t="shared" si="51"/>
        <v>44279</v>
      </c>
      <c r="E153" s="227" t="s">
        <v>54</v>
      </c>
      <c r="F153" s="236">
        <v>9</v>
      </c>
      <c r="G153" s="199">
        <v>133</v>
      </c>
      <c r="H153" s="200">
        <f t="shared" si="46"/>
        <v>2195.4899999999998</v>
      </c>
      <c r="I153" s="200">
        <f t="shared" si="44"/>
        <v>2247.39</v>
      </c>
      <c r="J153" s="201">
        <f t="shared" si="47"/>
        <v>298902.87</v>
      </c>
      <c r="K153" s="202">
        <f t="shared" si="41"/>
        <v>292000.17</v>
      </c>
      <c r="L153" s="203">
        <f t="shared" si="43"/>
        <v>6902.7000000000116</v>
      </c>
      <c r="M153" s="204">
        <f t="shared" si="48"/>
        <v>220.28940212269643</v>
      </c>
      <c r="N153" s="205">
        <f t="shared" si="49"/>
        <v>7122.9894021227083</v>
      </c>
      <c r="O153" s="204">
        <v>0</v>
      </c>
      <c r="P153" s="204">
        <v>0</v>
      </c>
      <c r="Q153" s="204">
        <v>0</v>
      </c>
      <c r="R153" s="205">
        <f t="shared" si="50"/>
        <v>7122.9894021227083</v>
      </c>
    </row>
    <row r="154" spans="1:19" x14ac:dyDescent="0.2">
      <c r="A154" s="161">
        <v>3</v>
      </c>
      <c r="B154" s="196">
        <f t="shared" si="45"/>
        <v>44256</v>
      </c>
      <c r="C154" s="219">
        <f t="shared" si="51"/>
        <v>44291</v>
      </c>
      <c r="D154" s="219">
        <f t="shared" si="51"/>
        <v>44312</v>
      </c>
      <c r="E154" s="227" t="s">
        <v>54</v>
      </c>
      <c r="F154" s="236">
        <v>9</v>
      </c>
      <c r="G154" s="199">
        <v>87</v>
      </c>
      <c r="H154" s="200">
        <f t="shared" si="46"/>
        <v>2195.4899999999998</v>
      </c>
      <c r="I154" s="200">
        <f t="shared" si="44"/>
        <v>2247.39</v>
      </c>
      <c r="J154" s="201">
        <f t="shared" si="47"/>
        <v>195522.93</v>
      </c>
      <c r="K154" s="202">
        <f t="shared" si="41"/>
        <v>191007.62999999998</v>
      </c>
      <c r="L154" s="203">
        <f>+J154-K154</f>
        <v>4515.3000000000175</v>
      </c>
      <c r="M154" s="204">
        <f t="shared" si="48"/>
        <v>144.09908259153829</v>
      </c>
      <c r="N154" s="205">
        <f t="shared" si="49"/>
        <v>4659.3990825915562</v>
      </c>
      <c r="O154" s="204">
        <v>0</v>
      </c>
      <c r="P154" s="204">
        <v>0</v>
      </c>
      <c r="Q154" s="204">
        <v>0</v>
      </c>
      <c r="R154" s="205">
        <f t="shared" si="50"/>
        <v>4659.3990825915562</v>
      </c>
    </row>
    <row r="155" spans="1:19" x14ac:dyDescent="0.2">
      <c r="A155" s="124">
        <v>4</v>
      </c>
      <c r="B155" s="196">
        <f t="shared" si="45"/>
        <v>44287</v>
      </c>
      <c r="C155" s="219">
        <f t="shared" si="51"/>
        <v>44321</v>
      </c>
      <c r="D155" s="219">
        <f t="shared" si="51"/>
        <v>44340</v>
      </c>
      <c r="E155" s="227" t="s">
        <v>54</v>
      </c>
      <c r="F155" s="236">
        <v>9</v>
      </c>
      <c r="G155" s="199">
        <v>77</v>
      </c>
      <c r="H155" s="200">
        <f t="shared" si="46"/>
        <v>2195.4899999999998</v>
      </c>
      <c r="I155" s="200">
        <f t="shared" si="44"/>
        <v>2247.39</v>
      </c>
      <c r="J155" s="201">
        <f t="shared" si="47"/>
        <v>173049.03</v>
      </c>
      <c r="K155" s="202">
        <f t="shared" si="41"/>
        <v>169052.72999999998</v>
      </c>
      <c r="L155" s="203">
        <f t="shared" ref="L155:L165" si="52">+J155-K155</f>
        <v>3996.3000000000175</v>
      </c>
      <c r="M155" s="204">
        <f t="shared" si="48"/>
        <v>127.53596964998215</v>
      </c>
      <c r="N155" s="205">
        <f t="shared" si="49"/>
        <v>4123.8359696499992</v>
      </c>
      <c r="O155" s="204">
        <v>0</v>
      </c>
      <c r="P155" s="204">
        <v>0</v>
      </c>
      <c r="Q155" s="204">
        <v>0</v>
      </c>
      <c r="R155" s="205">
        <f t="shared" si="50"/>
        <v>4123.8359696499992</v>
      </c>
    </row>
    <row r="156" spans="1:19" x14ac:dyDescent="0.2">
      <c r="A156" s="161">
        <v>5</v>
      </c>
      <c r="B156" s="196">
        <f t="shared" si="45"/>
        <v>44317</v>
      </c>
      <c r="C156" s="219">
        <f t="shared" si="51"/>
        <v>44350</v>
      </c>
      <c r="D156" s="219">
        <f t="shared" si="51"/>
        <v>44371</v>
      </c>
      <c r="E156" s="227" t="s">
        <v>54</v>
      </c>
      <c r="F156" s="236">
        <v>9</v>
      </c>
      <c r="G156" s="199">
        <v>104</v>
      </c>
      <c r="H156" s="200">
        <f t="shared" si="46"/>
        <v>2195.4899999999998</v>
      </c>
      <c r="I156" s="200">
        <f t="shared" si="44"/>
        <v>2247.39</v>
      </c>
      <c r="J156" s="201">
        <f t="shared" si="47"/>
        <v>233728.56</v>
      </c>
      <c r="K156" s="202">
        <f t="shared" si="41"/>
        <v>228330.95999999996</v>
      </c>
      <c r="L156" s="203">
        <f t="shared" si="52"/>
        <v>5397.6000000000349</v>
      </c>
      <c r="M156" s="204">
        <f t="shared" si="48"/>
        <v>172.2563745921837</v>
      </c>
      <c r="N156" s="205">
        <f t="shared" si="49"/>
        <v>5569.8563745922183</v>
      </c>
      <c r="O156" s="204">
        <v>0</v>
      </c>
      <c r="P156" s="204">
        <v>0</v>
      </c>
      <c r="Q156" s="204">
        <v>0</v>
      </c>
      <c r="R156" s="205">
        <f t="shared" si="50"/>
        <v>5569.8563745922183</v>
      </c>
    </row>
    <row r="157" spans="1:19" x14ac:dyDescent="0.2">
      <c r="A157" s="161">
        <v>6</v>
      </c>
      <c r="B157" s="196">
        <f t="shared" si="45"/>
        <v>44348</v>
      </c>
      <c r="C157" s="219">
        <f t="shared" si="51"/>
        <v>44383</v>
      </c>
      <c r="D157" s="219">
        <f t="shared" si="51"/>
        <v>44401</v>
      </c>
      <c r="E157" s="227" t="s">
        <v>54</v>
      </c>
      <c r="F157" s="236">
        <v>9</v>
      </c>
      <c r="G157" s="199">
        <v>144</v>
      </c>
      <c r="H157" s="200">
        <f t="shared" si="46"/>
        <v>2195.4899999999998</v>
      </c>
      <c r="I157" s="200">
        <f t="shared" si="44"/>
        <v>2247.39</v>
      </c>
      <c r="J157" s="201">
        <f t="shared" si="47"/>
        <v>323624.15999999997</v>
      </c>
      <c r="K157" s="202">
        <f t="shared" si="41"/>
        <v>316150.55999999994</v>
      </c>
      <c r="L157" s="207">
        <f t="shared" si="52"/>
        <v>7473.6000000000349</v>
      </c>
      <c r="M157" s="204">
        <f t="shared" si="48"/>
        <v>238.50882635840819</v>
      </c>
      <c r="N157" s="205">
        <f t="shared" si="49"/>
        <v>7712.1088263584434</v>
      </c>
      <c r="O157" s="204">
        <v>0</v>
      </c>
      <c r="P157" s="204">
        <v>0</v>
      </c>
      <c r="Q157" s="204">
        <v>0</v>
      </c>
      <c r="R157" s="205">
        <f t="shared" si="50"/>
        <v>7712.1088263584434</v>
      </c>
    </row>
    <row r="158" spans="1:19" x14ac:dyDescent="0.2">
      <c r="A158" s="124">
        <v>7</v>
      </c>
      <c r="B158" s="196">
        <f t="shared" si="45"/>
        <v>44378</v>
      </c>
      <c r="C158" s="219">
        <f t="shared" si="51"/>
        <v>44412</v>
      </c>
      <c r="D158" s="219">
        <f t="shared" si="51"/>
        <v>44432</v>
      </c>
      <c r="E158" s="227" t="s">
        <v>54</v>
      </c>
      <c r="F158" s="236">
        <v>9</v>
      </c>
      <c r="G158" s="199">
        <v>161</v>
      </c>
      <c r="H158" s="200">
        <f t="shared" si="46"/>
        <v>2195.4899999999998</v>
      </c>
      <c r="I158" s="200">
        <f t="shared" si="44"/>
        <v>2247.39</v>
      </c>
      <c r="J158" s="201">
        <f t="shared" si="47"/>
        <v>361829.79</v>
      </c>
      <c r="K158" s="208">
        <f t="shared" si="41"/>
        <v>353473.88999999996</v>
      </c>
      <c r="L158" s="207">
        <f t="shared" si="52"/>
        <v>8355.9000000000233</v>
      </c>
      <c r="M158" s="204">
        <f t="shared" si="48"/>
        <v>266.6661183590536</v>
      </c>
      <c r="N158" s="205">
        <f t="shared" si="49"/>
        <v>8622.5661183590764</v>
      </c>
      <c r="O158" s="204">
        <v>0</v>
      </c>
      <c r="P158" s="204">
        <v>0</v>
      </c>
      <c r="Q158" s="204">
        <v>0</v>
      </c>
      <c r="R158" s="205">
        <f t="shared" si="50"/>
        <v>8622.5661183590764</v>
      </c>
    </row>
    <row r="159" spans="1:19" x14ac:dyDescent="0.2">
      <c r="A159" s="161">
        <v>8</v>
      </c>
      <c r="B159" s="196">
        <f t="shared" si="45"/>
        <v>44409</v>
      </c>
      <c r="C159" s="219">
        <f t="shared" si="51"/>
        <v>44442</v>
      </c>
      <c r="D159" s="219">
        <f t="shared" si="51"/>
        <v>44463</v>
      </c>
      <c r="E159" s="227" t="s">
        <v>54</v>
      </c>
      <c r="F159" s="148">
        <v>9</v>
      </c>
      <c r="G159" s="199">
        <v>163</v>
      </c>
      <c r="H159" s="200">
        <f t="shared" si="46"/>
        <v>2195.4899999999998</v>
      </c>
      <c r="I159" s="200">
        <f t="shared" si="44"/>
        <v>2247.39</v>
      </c>
      <c r="J159" s="201">
        <f t="shared" si="47"/>
        <v>366324.57</v>
      </c>
      <c r="K159" s="208">
        <f t="shared" si="41"/>
        <v>357864.86999999994</v>
      </c>
      <c r="L159" s="207">
        <f t="shared" si="52"/>
        <v>8459.7000000000698</v>
      </c>
      <c r="M159" s="204">
        <f t="shared" si="48"/>
        <v>269.97874094736483</v>
      </c>
      <c r="N159" s="205">
        <f t="shared" si="49"/>
        <v>8729.6787409474346</v>
      </c>
      <c r="O159" s="204">
        <v>0</v>
      </c>
      <c r="P159" s="204">
        <v>0</v>
      </c>
      <c r="Q159" s="204">
        <v>0</v>
      </c>
      <c r="R159" s="205">
        <f t="shared" si="50"/>
        <v>8729.6787409474346</v>
      </c>
      <c r="S159" s="52"/>
    </row>
    <row r="160" spans="1:19" x14ac:dyDescent="0.2">
      <c r="A160" s="161">
        <v>9</v>
      </c>
      <c r="B160" s="196">
        <f t="shared" si="45"/>
        <v>44440</v>
      </c>
      <c r="C160" s="219">
        <f t="shared" si="51"/>
        <v>44474</v>
      </c>
      <c r="D160" s="219">
        <f t="shared" si="51"/>
        <v>44494</v>
      </c>
      <c r="E160" s="227" t="s">
        <v>54</v>
      </c>
      <c r="F160" s="148">
        <v>9</v>
      </c>
      <c r="G160" s="199">
        <v>153</v>
      </c>
      <c r="H160" s="200">
        <f t="shared" si="46"/>
        <v>2195.4899999999998</v>
      </c>
      <c r="I160" s="200">
        <f t="shared" si="44"/>
        <v>2247.39</v>
      </c>
      <c r="J160" s="201">
        <f t="shared" si="47"/>
        <v>343850.67</v>
      </c>
      <c r="K160" s="208">
        <f t="shared" si="41"/>
        <v>335909.97</v>
      </c>
      <c r="L160" s="207">
        <f t="shared" si="52"/>
        <v>7940.7000000000116</v>
      </c>
      <c r="M160" s="204">
        <f t="shared" si="48"/>
        <v>253.41562800580868</v>
      </c>
      <c r="N160" s="205">
        <f t="shared" si="49"/>
        <v>8194.1156280058203</v>
      </c>
      <c r="O160" s="204">
        <v>0</v>
      </c>
      <c r="P160" s="204">
        <v>0</v>
      </c>
      <c r="Q160" s="204">
        <v>0</v>
      </c>
      <c r="R160" s="205">
        <f t="shared" si="50"/>
        <v>8194.1156280058203</v>
      </c>
    </row>
    <row r="161" spans="1:19" x14ac:dyDescent="0.2">
      <c r="A161" s="124">
        <v>10</v>
      </c>
      <c r="B161" s="196">
        <f t="shared" si="45"/>
        <v>44470</v>
      </c>
      <c r="C161" s="219">
        <f t="shared" si="51"/>
        <v>44503</v>
      </c>
      <c r="D161" s="219">
        <f t="shared" si="51"/>
        <v>44524</v>
      </c>
      <c r="E161" s="227" t="s">
        <v>54</v>
      </c>
      <c r="F161" s="148">
        <v>9</v>
      </c>
      <c r="G161" s="199">
        <v>117</v>
      </c>
      <c r="H161" s="200">
        <f t="shared" si="46"/>
        <v>2195.4899999999998</v>
      </c>
      <c r="I161" s="200">
        <f t="shared" si="44"/>
        <v>2247.39</v>
      </c>
      <c r="J161" s="201">
        <f t="shared" si="47"/>
        <v>262944.63</v>
      </c>
      <c r="K161" s="208">
        <f t="shared" si="41"/>
        <v>256872.33</v>
      </c>
      <c r="L161" s="207">
        <f t="shared" si="52"/>
        <v>6072.3000000000175</v>
      </c>
      <c r="M161" s="204">
        <f t="shared" si="48"/>
        <v>193.78842141620666</v>
      </c>
      <c r="N161" s="205">
        <f t="shared" si="49"/>
        <v>6266.0884214162243</v>
      </c>
      <c r="O161" s="204">
        <v>0</v>
      </c>
      <c r="P161" s="204">
        <v>0</v>
      </c>
      <c r="Q161" s="204">
        <v>0</v>
      </c>
      <c r="R161" s="205">
        <f t="shared" si="50"/>
        <v>6266.0884214162243</v>
      </c>
    </row>
    <row r="162" spans="1:19" x14ac:dyDescent="0.2">
      <c r="A162" s="161">
        <v>11</v>
      </c>
      <c r="B162" s="196">
        <f t="shared" si="45"/>
        <v>44501</v>
      </c>
      <c r="C162" s="219">
        <f t="shared" si="51"/>
        <v>44533</v>
      </c>
      <c r="D162" s="219">
        <f t="shared" si="51"/>
        <v>44557</v>
      </c>
      <c r="E162" s="227" t="s">
        <v>54</v>
      </c>
      <c r="F162" s="148">
        <v>9</v>
      </c>
      <c r="G162" s="199">
        <v>91</v>
      </c>
      <c r="H162" s="200">
        <f t="shared" si="46"/>
        <v>2195.4899999999998</v>
      </c>
      <c r="I162" s="200">
        <f t="shared" si="44"/>
        <v>2247.39</v>
      </c>
      <c r="J162" s="201">
        <f t="shared" si="47"/>
        <v>204512.49</v>
      </c>
      <c r="K162" s="208">
        <f t="shared" si="41"/>
        <v>199789.58999999997</v>
      </c>
      <c r="L162" s="207">
        <f t="shared" si="52"/>
        <v>4722.9000000000233</v>
      </c>
      <c r="M162" s="204">
        <f t="shared" si="48"/>
        <v>150.72432776816072</v>
      </c>
      <c r="N162" s="205">
        <f t="shared" si="49"/>
        <v>4873.6243277681842</v>
      </c>
      <c r="O162" s="204">
        <v>0</v>
      </c>
      <c r="P162" s="204">
        <v>0</v>
      </c>
      <c r="Q162" s="204">
        <v>0</v>
      </c>
      <c r="R162" s="205">
        <f t="shared" si="50"/>
        <v>4873.6243277681842</v>
      </c>
    </row>
    <row r="163" spans="1:19" s="223" customFormat="1" x14ac:dyDescent="0.2">
      <c r="A163" s="161">
        <v>12</v>
      </c>
      <c r="B163" s="221">
        <f t="shared" si="45"/>
        <v>44531</v>
      </c>
      <c r="C163" s="219">
        <f t="shared" si="51"/>
        <v>44566</v>
      </c>
      <c r="D163" s="219">
        <f t="shared" si="51"/>
        <v>44585</v>
      </c>
      <c r="E163" s="228" t="s">
        <v>54</v>
      </c>
      <c r="F163" s="238">
        <v>9</v>
      </c>
      <c r="G163" s="211">
        <v>94</v>
      </c>
      <c r="H163" s="212">
        <f t="shared" si="46"/>
        <v>2195.4899999999998</v>
      </c>
      <c r="I163" s="212">
        <f t="shared" si="44"/>
        <v>2247.39</v>
      </c>
      <c r="J163" s="213">
        <f t="shared" si="47"/>
        <v>211254.65999999997</v>
      </c>
      <c r="K163" s="214">
        <f t="shared" si="41"/>
        <v>206376.05999999997</v>
      </c>
      <c r="L163" s="215">
        <f t="shared" si="52"/>
        <v>4878.6000000000058</v>
      </c>
      <c r="M163" s="204">
        <f t="shared" si="48"/>
        <v>155.69326165062756</v>
      </c>
      <c r="N163" s="205">
        <f t="shared" si="49"/>
        <v>5034.2932616506332</v>
      </c>
      <c r="O163" s="204">
        <v>0</v>
      </c>
      <c r="P163" s="204">
        <v>0</v>
      </c>
      <c r="Q163" s="204">
        <v>0</v>
      </c>
      <c r="R163" s="205">
        <f t="shared" si="50"/>
        <v>5034.2932616506332</v>
      </c>
    </row>
    <row r="164" spans="1:19" x14ac:dyDescent="0.2">
      <c r="A164" s="124">
        <v>1</v>
      </c>
      <c r="B164" s="196">
        <f t="shared" si="45"/>
        <v>44197</v>
      </c>
      <c r="C164" s="217">
        <f t="shared" si="51"/>
        <v>44230</v>
      </c>
      <c r="D164" s="217">
        <f t="shared" si="51"/>
        <v>44251</v>
      </c>
      <c r="E164" s="226" t="s">
        <v>55</v>
      </c>
      <c r="F164" s="148">
        <v>9</v>
      </c>
      <c r="G164" s="199">
        <v>11</v>
      </c>
      <c r="H164" s="200">
        <f t="shared" si="46"/>
        <v>2195.4899999999998</v>
      </c>
      <c r="I164" s="200">
        <f t="shared" si="44"/>
        <v>2247.39</v>
      </c>
      <c r="J164" s="201">
        <f t="shared" si="47"/>
        <v>24721.289999999997</v>
      </c>
      <c r="K164" s="202">
        <f t="shared" si="41"/>
        <v>24150.39</v>
      </c>
      <c r="L164" s="203">
        <f t="shared" si="52"/>
        <v>570.89999999999782</v>
      </c>
      <c r="M164" s="204">
        <f t="shared" si="48"/>
        <v>18.219424235711738</v>
      </c>
      <c r="N164" s="205">
        <f t="shared" si="49"/>
        <v>589.11942423570952</v>
      </c>
      <c r="O164" s="204">
        <v>0</v>
      </c>
      <c r="P164" s="204">
        <v>0</v>
      </c>
      <c r="Q164" s="204">
        <v>0</v>
      </c>
      <c r="R164" s="205">
        <f t="shared" si="50"/>
        <v>589.11942423570952</v>
      </c>
    </row>
    <row r="165" spans="1:19" x14ac:dyDescent="0.2">
      <c r="A165" s="161">
        <v>2</v>
      </c>
      <c r="B165" s="196">
        <f t="shared" si="45"/>
        <v>44228</v>
      </c>
      <c r="C165" s="219">
        <f t="shared" si="51"/>
        <v>44258</v>
      </c>
      <c r="D165" s="219">
        <f t="shared" si="51"/>
        <v>44279</v>
      </c>
      <c r="E165" s="227" t="s">
        <v>55</v>
      </c>
      <c r="F165" s="236">
        <v>9</v>
      </c>
      <c r="G165" s="199">
        <v>8</v>
      </c>
      <c r="H165" s="200">
        <f t="shared" si="46"/>
        <v>2195.4899999999998</v>
      </c>
      <c r="I165" s="200">
        <f t="shared" si="44"/>
        <v>2247.39</v>
      </c>
      <c r="J165" s="201">
        <f t="shared" si="47"/>
        <v>17979.12</v>
      </c>
      <c r="K165" s="202">
        <f t="shared" si="41"/>
        <v>17563.919999999998</v>
      </c>
      <c r="L165" s="203">
        <f t="shared" si="52"/>
        <v>415.20000000000073</v>
      </c>
      <c r="M165" s="204">
        <f t="shared" si="48"/>
        <v>13.250490353244899</v>
      </c>
      <c r="N165" s="205">
        <f t="shared" si="49"/>
        <v>428.45049035324564</v>
      </c>
      <c r="O165" s="204">
        <v>0</v>
      </c>
      <c r="P165" s="204">
        <v>0</v>
      </c>
      <c r="Q165" s="204">
        <v>0</v>
      </c>
      <c r="R165" s="205">
        <f t="shared" si="50"/>
        <v>428.45049035324564</v>
      </c>
    </row>
    <row r="166" spans="1:19" x14ac:dyDescent="0.2">
      <c r="A166" s="161">
        <v>3</v>
      </c>
      <c r="B166" s="196">
        <f t="shared" si="45"/>
        <v>44256</v>
      </c>
      <c r="C166" s="219">
        <f t="shared" si="51"/>
        <v>44291</v>
      </c>
      <c r="D166" s="219">
        <f t="shared" si="51"/>
        <v>44312</v>
      </c>
      <c r="E166" s="227" t="s">
        <v>55</v>
      </c>
      <c r="F166" s="236">
        <v>9</v>
      </c>
      <c r="G166" s="199">
        <v>7</v>
      </c>
      <c r="H166" s="200">
        <f t="shared" si="46"/>
        <v>2195.4899999999998</v>
      </c>
      <c r="I166" s="200">
        <f t="shared" si="44"/>
        <v>2247.39</v>
      </c>
      <c r="J166" s="201">
        <f t="shared" si="47"/>
        <v>15731.73</v>
      </c>
      <c r="K166" s="202">
        <f t="shared" si="41"/>
        <v>15368.429999999998</v>
      </c>
      <c r="L166" s="203">
        <f>+J166-K166</f>
        <v>363.30000000000109</v>
      </c>
      <c r="M166" s="204">
        <f t="shared" si="48"/>
        <v>11.594179059089287</v>
      </c>
      <c r="N166" s="205">
        <f t="shared" si="49"/>
        <v>374.89417905909039</v>
      </c>
      <c r="O166" s="204">
        <v>0</v>
      </c>
      <c r="P166" s="204">
        <v>0</v>
      </c>
      <c r="Q166" s="204">
        <v>0</v>
      </c>
      <c r="R166" s="205">
        <f t="shared" si="50"/>
        <v>374.89417905909039</v>
      </c>
    </row>
    <row r="167" spans="1:19" x14ac:dyDescent="0.2">
      <c r="A167" s="124">
        <v>4</v>
      </c>
      <c r="B167" s="196">
        <f t="shared" si="45"/>
        <v>44287</v>
      </c>
      <c r="C167" s="219">
        <f t="shared" si="51"/>
        <v>44321</v>
      </c>
      <c r="D167" s="219">
        <f t="shared" si="51"/>
        <v>44340</v>
      </c>
      <c r="E167" s="227" t="s">
        <v>55</v>
      </c>
      <c r="F167" s="236">
        <v>9</v>
      </c>
      <c r="G167" s="199">
        <v>12</v>
      </c>
      <c r="H167" s="200">
        <f t="shared" si="46"/>
        <v>2195.4899999999998</v>
      </c>
      <c r="I167" s="200">
        <f t="shared" si="44"/>
        <v>2247.39</v>
      </c>
      <c r="J167" s="201">
        <f t="shared" si="47"/>
        <v>26968.68</v>
      </c>
      <c r="K167" s="202">
        <f t="shared" si="41"/>
        <v>26345.879999999997</v>
      </c>
      <c r="L167" s="203">
        <f t="shared" ref="L167:L177" si="53">+J167-K167</f>
        <v>622.80000000000291</v>
      </c>
      <c r="M167" s="204">
        <f t="shared" si="48"/>
        <v>19.875735529867349</v>
      </c>
      <c r="N167" s="205">
        <f t="shared" si="49"/>
        <v>642.67573552987028</v>
      </c>
      <c r="O167" s="204">
        <v>0</v>
      </c>
      <c r="P167" s="204">
        <v>0</v>
      </c>
      <c r="Q167" s="204">
        <v>0</v>
      </c>
      <c r="R167" s="205">
        <f t="shared" si="50"/>
        <v>642.67573552987028</v>
      </c>
    </row>
    <row r="168" spans="1:19" x14ac:dyDescent="0.2">
      <c r="A168" s="161">
        <v>5</v>
      </c>
      <c r="B168" s="196">
        <f t="shared" si="45"/>
        <v>44317</v>
      </c>
      <c r="C168" s="219">
        <f t="shared" si="51"/>
        <v>44350</v>
      </c>
      <c r="D168" s="219">
        <f t="shared" si="51"/>
        <v>44371</v>
      </c>
      <c r="E168" s="227" t="s">
        <v>55</v>
      </c>
      <c r="F168" s="236">
        <v>9</v>
      </c>
      <c r="G168" s="199">
        <v>11</v>
      </c>
      <c r="H168" s="200">
        <f t="shared" si="46"/>
        <v>2195.4899999999998</v>
      </c>
      <c r="I168" s="200">
        <f t="shared" si="44"/>
        <v>2247.39</v>
      </c>
      <c r="J168" s="201">
        <f t="shared" si="47"/>
        <v>24721.289999999997</v>
      </c>
      <c r="K168" s="202">
        <f t="shared" si="41"/>
        <v>24150.39</v>
      </c>
      <c r="L168" s="203">
        <f t="shared" si="53"/>
        <v>570.89999999999782</v>
      </c>
      <c r="M168" s="204">
        <f t="shared" si="48"/>
        <v>18.219424235711738</v>
      </c>
      <c r="N168" s="205">
        <f t="shared" si="49"/>
        <v>589.11942423570952</v>
      </c>
      <c r="O168" s="204">
        <v>0</v>
      </c>
      <c r="P168" s="204">
        <v>0</v>
      </c>
      <c r="Q168" s="204">
        <v>0</v>
      </c>
      <c r="R168" s="205">
        <f t="shared" si="50"/>
        <v>589.11942423570952</v>
      </c>
    </row>
    <row r="169" spans="1:19" x14ac:dyDescent="0.2">
      <c r="A169" s="161">
        <v>6</v>
      </c>
      <c r="B169" s="196">
        <f t="shared" si="45"/>
        <v>44348</v>
      </c>
      <c r="C169" s="219">
        <f t="shared" si="51"/>
        <v>44383</v>
      </c>
      <c r="D169" s="219">
        <f t="shared" si="51"/>
        <v>44401</v>
      </c>
      <c r="E169" s="227" t="s">
        <v>55</v>
      </c>
      <c r="F169" s="236">
        <v>9</v>
      </c>
      <c r="G169" s="199">
        <v>13</v>
      </c>
      <c r="H169" s="200">
        <f t="shared" si="46"/>
        <v>2195.4899999999998</v>
      </c>
      <c r="I169" s="200">
        <f t="shared" si="44"/>
        <v>2247.39</v>
      </c>
      <c r="J169" s="201">
        <f t="shared" si="47"/>
        <v>29216.07</v>
      </c>
      <c r="K169" s="202">
        <f t="shared" si="41"/>
        <v>28541.369999999995</v>
      </c>
      <c r="L169" s="207">
        <f t="shared" si="53"/>
        <v>674.70000000000437</v>
      </c>
      <c r="M169" s="204">
        <f t="shared" si="48"/>
        <v>21.532046824022963</v>
      </c>
      <c r="N169" s="205">
        <f t="shared" si="49"/>
        <v>696.23204682402729</v>
      </c>
      <c r="O169" s="204">
        <v>0</v>
      </c>
      <c r="P169" s="204">
        <v>0</v>
      </c>
      <c r="Q169" s="204">
        <v>0</v>
      </c>
      <c r="R169" s="205">
        <f t="shared" si="50"/>
        <v>696.23204682402729</v>
      </c>
    </row>
    <row r="170" spans="1:19" x14ac:dyDescent="0.2">
      <c r="A170" s="124">
        <v>7</v>
      </c>
      <c r="B170" s="196">
        <f t="shared" si="45"/>
        <v>44378</v>
      </c>
      <c r="C170" s="219">
        <f t="shared" si="51"/>
        <v>44412</v>
      </c>
      <c r="D170" s="219">
        <f t="shared" si="51"/>
        <v>44432</v>
      </c>
      <c r="E170" s="227" t="s">
        <v>55</v>
      </c>
      <c r="F170" s="236">
        <v>9</v>
      </c>
      <c r="G170" s="199">
        <v>13</v>
      </c>
      <c r="H170" s="200">
        <f t="shared" si="46"/>
        <v>2195.4899999999998</v>
      </c>
      <c r="I170" s="200">
        <f t="shared" si="44"/>
        <v>2247.39</v>
      </c>
      <c r="J170" s="201">
        <f t="shared" si="47"/>
        <v>29216.07</v>
      </c>
      <c r="K170" s="208">
        <f t="shared" si="41"/>
        <v>28541.369999999995</v>
      </c>
      <c r="L170" s="207">
        <f t="shared" si="53"/>
        <v>674.70000000000437</v>
      </c>
      <c r="M170" s="204">
        <f t="shared" si="48"/>
        <v>21.532046824022963</v>
      </c>
      <c r="N170" s="205">
        <f t="shared" si="49"/>
        <v>696.23204682402729</v>
      </c>
      <c r="O170" s="204">
        <v>0</v>
      </c>
      <c r="P170" s="204">
        <v>0</v>
      </c>
      <c r="Q170" s="204">
        <v>0</v>
      </c>
      <c r="R170" s="205">
        <f t="shared" si="50"/>
        <v>696.23204682402729</v>
      </c>
    </row>
    <row r="171" spans="1:19" x14ac:dyDescent="0.2">
      <c r="A171" s="161">
        <v>8</v>
      </c>
      <c r="B171" s="196">
        <f t="shared" si="45"/>
        <v>44409</v>
      </c>
      <c r="C171" s="219">
        <f t="shared" si="51"/>
        <v>44442</v>
      </c>
      <c r="D171" s="219">
        <f t="shared" si="51"/>
        <v>44463</v>
      </c>
      <c r="E171" s="227" t="s">
        <v>55</v>
      </c>
      <c r="F171" s="148">
        <v>9</v>
      </c>
      <c r="G171" s="199">
        <v>12</v>
      </c>
      <c r="H171" s="200">
        <f t="shared" si="46"/>
        <v>2195.4899999999998</v>
      </c>
      <c r="I171" s="200">
        <f t="shared" si="44"/>
        <v>2247.39</v>
      </c>
      <c r="J171" s="201">
        <f t="shared" si="47"/>
        <v>26968.68</v>
      </c>
      <c r="K171" s="208">
        <f t="shared" si="41"/>
        <v>26345.879999999997</v>
      </c>
      <c r="L171" s="207">
        <f t="shared" si="53"/>
        <v>622.80000000000291</v>
      </c>
      <c r="M171" s="204">
        <f t="shared" si="48"/>
        <v>19.875735529867349</v>
      </c>
      <c r="N171" s="205">
        <f t="shared" si="49"/>
        <v>642.67573552987028</v>
      </c>
      <c r="O171" s="204">
        <v>0</v>
      </c>
      <c r="P171" s="204">
        <v>0</v>
      </c>
      <c r="Q171" s="204">
        <v>0</v>
      </c>
      <c r="R171" s="205">
        <f t="shared" si="50"/>
        <v>642.67573552987028</v>
      </c>
      <c r="S171" s="52"/>
    </row>
    <row r="172" spans="1:19" x14ac:dyDescent="0.2">
      <c r="A172" s="161">
        <v>9</v>
      </c>
      <c r="B172" s="196">
        <f t="shared" si="45"/>
        <v>44440</v>
      </c>
      <c r="C172" s="219">
        <f t="shared" ref="C172:D175" si="54">+C160</f>
        <v>44474</v>
      </c>
      <c r="D172" s="219">
        <f t="shared" si="54"/>
        <v>44494</v>
      </c>
      <c r="E172" s="227" t="s">
        <v>55</v>
      </c>
      <c r="F172" s="148">
        <v>9</v>
      </c>
      <c r="G172" s="199">
        <v>13</v>
      </c>
      <c r="H172" s="200">
        <f t="shared" si="46"/>
        <v>2195.4899999999998</v>
      </c>
      <c r="I172" s="200">
        <f t="shared" si="44"/>
        <v>2247.39</v>
      </c>
      <c r="J172" s="201">
        <f t="shared" si="47"/>
        <v>29216.07</v>
      </c>
      <c r="K172" s="208">
        <f t="shared" si="41"/>
        <v>28541.369999999995</v>
      </c>
      <c r="L172" s="207">
        <f t="shared" si="53"/>
        <v>674.70000000000437</v>
      </c>
      <c r="M172" s="204">
        <f t="shared" si="48"/>
        <v>21.532046824022963</v>
      </c>
      <c r="N172" s="205">
        <f t="shared" si="49"/>
        <v>696.23204682402729</v>
      </c>
      <c r="O172" s="204">
        <v>0</v>
      </c>
      <c r="P172" s="204">
        <v>0</v>
      </c>
      <c r="Q172" s="204">
        <v>0</v>
      </c>
      <c r="R172" s="205">
        <f t="shared" si="50"/>
        <v>696.23204682402729</v>
      </c>
    </row>
    <row r="173" spans="1:19" x14ac:dyDescent="0.2">
      <c r="A173" s="124">
        <v>10</v>
      </c>
      <c r="B173" s="196">
        <f t="shared" si="45"/>
        <v>44470</v>
      </c>
      <c r="C173" s="219">
        <f t="shared" si="54"/>
        <v>44503</v>
      </c>
      <c r="D173" s="219">
        <f t="shared" si="54"/>
        <v>44524</v>
      </c>
      <c r="E173" s="227" t="s">
        <v>55</v>
      </c>
      <c r="F173" s="148">
        <v>9</v>
      </c>
      <c r="G173" s="199">
        <v>8</v>
      </c>
      <c r="H173" s="200">
        <f t="shared" si="46"/>
        <v>2195.4899999999998</v>
      </c>
      <c r="I173" s="200">
        <f t="shared" si="44"/>
        <v>2247.39</v>
      </c>
      <c r="J173" s="201">
        <f t="shared" si="47"/>
        <v>17979.12</v>
      </c>
      <c r="K173" s="208">
        <f t="shared" si="41"/>
        <v>17563.919999999998</v>
      </c>
      <c r="L173" s="207">
        <f t="shared" si="53"/>
        <v>415.20000000000073</v>
      </c>
      <c r="M173" s="204">
        <f t="shared" si="48"/>
        <v>13.250490353244899</v>
      </c>
      <c r="N173" s="205">
        <f t="shared" si="49"/>
        <v>428.45049035324564</v>
      </c>
      <c r="O173" s="204">
        <v>0</v>
      </c>
      <c r="P173" s="204">
        <v>0</v>
      </c>
      <c r="Q173" s="204">
        <v>0</v>
      </c>
      <c r="R173" s="205">
        <f t="shared" si="50"/>
        <v>428.45049035324564</v>
      </c>
    </row>
    <row r="174" spans="1:19" x14ac:dyDescent="0.2">
      <c r="A174" s="161">
        <v>11</v>
      </c>
      <c r="B174" s="196">
        <f t="shared" si="45"/>
        <v>44501</v>
      </c>
      <c r="C174" s="219">
        <f t="shared" si="54"/>
        <v>44533</v>
      </c>
      <c r="D174" s="219">
        <f t="shared" si="54"/>
        <v>44557</v>
      </c>
      <c r="E174" s="227" t="s">
        <v>55</v>
      </c>
      <c r="F174" s="148">
        <v>9</v>
      </c>
      <c r="G174" s="199">
        <v>8</v>
      </c>
      <c r="H174" s="200">
        <f t="shared" si="46"/>
        <v>2195.4899999999998</v>
      </c>
      <c r="I174" s="200">
        <f t="shared" si="44"/>
        <v>2247.39</v>
      </c>
      <c r="J174" s="201">
        <f t="shared" si="47"/>
        <v>17979.12</v>
      </c>
      <c r="K174" s="208">
        <f t="shared" si="41"/>
        <v>17563.919999999998</v>
      </c>
      <c r="L174" s="207">
        <f t="shared" si="53"/>
        <v>415.20000000000073</v>
      </c>
      <c r="M174" s="204">
        <f t="shared" si="48"/>
        <v>13.250490353244899</v>
      </c>
      <c r="N174" s="205">
        <f t="shared" si="49"/>
        <v>428.45049035324564</v>
      </c>
      <c r="O174" s="204">
        <v>0</v>
      </c>
      <c r="P174" s="204">
        <v>0</v>
      </c>
      <c r="Q174" s="204">
        <v>0</v>
      </c>
      <c r="R174" s="205">
        <f t="shared" si="50"/>
        <v>428.45049035324564</v>
      </c>
    </row>
    <row r="175" spans="1:19" s="223" customFormat="1" x14ac:dyDescent="0.2">
      <c r="A175" s="161">
        <v>12</v>
      </c>
      <c r="B175" s="221">
        <f t="shared" si="45"/>
        <v>44531</v>
      </c>
      <c r="C175" s="219">
        <f t="shared" si="54"/>
        <v>44566</v>
      </c>
      <c r="D175" s="219">
        <f t="shared" si="54"/>
        <v>44585</v>
      </c>
      <c r="E175" s="228" t="s">
        <v>55</v>
      </c>
      <c r="F175" s="238">
        <v>9</v>
      </c>
      <c r="G175" s="211">
        <v>11</v>
      </c>
      <c r="H175" s="212">
        <f t="shared" si="46"/>
        <v>2195.4899999999998</v>
      </c>
      <c r="I175" s="212">
        <f t="shared" si="44"/>
        <v>2247.39</v>
      </c>
      <c r="J175" s="213">
        <f t="shared" si="47"/>
        <v>24721.289999999997</v>
      </c>
      <c r="K175" s="214">
        <f t="shared" si="41"/>
        <v>24150.39</v>
      </c>
      <c r="L175" s="215">
        <f t="shared" si="53"/>
        <v>570.89999999999782</v>
      </c>
      <c r="M175" s="204">
        <f t="shared" si="48"/>
        <v>18.219424235711738</v>
      </c>
      <c r="N175" s="205">
        <f t="shared" si="49"/>
        <v>589.11942423570952</v>
      </c>
      <c r="O175" s="204">
        <v>0</v>
      </c>
      <c r="P175" s="204">
        <v>0</v>
      </c>
      <c r="Q175" s="204">
        <v>0</v>
      </c>
      <c r="R175" s="205">
        <f t="shared" si="50"/>
        <v>589.11942423570952</v>
      </c>
    </row>
    <row r="176" spans="1:19" x14ac:dyDescent="0.2">
      <c r="A176" s="124">
        <v>1</v>
      </c>
      <c r="B176" s="196">
        <f t="shared" si="45"/>
        <v>44197</v>
      </c>
      <c r="C176" s="217">
        <f t="shared" ref="C176:D187" si="55">+C152</f>
        <v>44230</v>
      </c>
      <c r="D176" s="217">
        <f t="shared" si="55"/>
        <v>44251</v>
      </c>
      <c r="E176" s="226" t="s">
        <v>56</v>
      </c>
      <c r="F176" s="236">
        <v>9</v>
      </c>
      <c r="G176" s="199">
        <v>20</v>
      </c>
      <c r="H176" s="200">
        <f t="shared" si="46"/>
        <v>2195.4899999999998</v>
      </c>
      <c r="I176" s="200">
        <f t="shared" si="44"/>
        <v>2247.39</v>
      </c>
      <c r="J176" s="201">
        <f t="shared" si="47"/>
        <v>44947.799999999996</v>
      </c>
      <c r="K176" s="202">
        <f t="shared" si="41"/>
        <v>43909.799999999996</v>
      </c>
      <c r="L176" s="203">
        <f t="shared" si="53"/>
        <v>1038</v>
      </c>
      <c r="M176" s="204">
        <f t="shared" si="48"/>
        <v>33.126225883112248</v>
      </c>
      <c r="N176" s="205">
        <f t="shared" si="49"/>
        <v>1071.1262258831123</v>
      </c>
      <c r="O176" s="204">
        <v>0</v>
      </c>
      <c r="P176" s="204">
        <v>0</v>
      </c>
      <c r="Q176" s="204">
        <v>0</v>
      </c>
      <c r="R176" s="205">
        <f t="shared" si="50"/>
        <v>1071.1262258831123</v>
      </c>
    </row>
    <row r="177" spans="1:18" x14ac:dyDescent="0.2">
      <c r="A177" s="161">
        <v>2</v>
      </c>
      <c r="B177" s="196">
        <f t="shared" si="45"/>
        <v>44228</v>
      </c>
      <c r="C177" s="219">
        <f t="shared" si="55"/>
        <v>44258</v>
      </c>
      <c r="D177" s="219">
        <f t="shared" si="55"/>
        <v>44279</v>
      </c>
      <c r="E177" s="54" t="s">
        <v>56</v>
      </c>
      <c r="F177" s="236">
        <v>9</v>
      </c>
      <c r="G177" s="199">
        <v>23</v>
      </c>
      <c r="H177" s="200">
        <f t="shared" si="46"/>
        <v>2195.4899999999998</v>
      </c>
      <c r="I177" s="200">
        <f t="shared" si="44"/>
        <v>2247.39</v>
      </c>
      <c r="J177" s="201">
        <f t="shared" si="47"/>
        <v>51689.969999999994</v>
      </c>
      <c r="K177" s="202">
        <f t="shared" si="41"/>
        <v>50496.27</v>
      </c>
      <c r="L177" s="203">
        <f t="shared" si="53"/>
        <v>1193.6999999999971</v>
      </c>
      <c r="M177" s="204">
        <f t="shared" si="48"/>
        <v>38.095159765579083</v>
      </c>
      <c r="N177" s="205">
        <f t="shared" si="49"/>
        <v>1231.7951597655763</v>
      </c>
      <c r="O177" s="204">
        <v>0</v>
      </c>
      <c r="P177" s="204">
        <v>0</v>
      </c>
      <c r="Q177" s="204">
        <v>0</v>
      </c>
      <c r="R177" s="205">
        <f t="shared" si="50"/>
        <v>1231.7951597655763</v>
      </c>
    </row>
    <row r="178" spans="1:18" x14ac:dyDescent="0.2">
      <c r="A178" s="161">
        <v>3</v>
      </c>
      <c r="B178" s="196">
        <f t="shared" si="45"/>
        <v>44256</v>
      </c>
      <c r="C178" s="219">
        <f t="shared" si="55"/>
        <v>44291</v>
      </c>
      <c r="D178" s="219">
        <f t="shared" si="55"/>
        <v>44312</v>
      </c>
      <c r="E178" s="54" t="s">
        <v>56</v>
      </c>
      <c r="F178" s="236">
        <v>9</v>
      </c>
      <c r="G178" s="199">
        <v>16</v>
      </c>
      <c r="H178" s="200">
        <f t="shared" si="46"/>
        <v>2195.4899999999998</v>
      </c>
      <c r="I178" s="200">
        <f t="shared" si="44"/>
        <v>2247.39</v>
      </c>
      <c r="J178" s="201">
        <f t="shared" si="47"/>
        <v>35958.239999999998</v>
      </c>
      <c r="K178" s="202">
        <f t="shared" si="41"/>
        <v>35127.839999999997</v>
      </c>
      <c r="L178" s="203">
        <f>+J178-K178</f>
        <v>830.40000000000146</v>
      </c>
      <c r="M178" s="204">
        <f t="shared" si="48"/>
        <v>26.500980706489798</v>
      </c>
      <c r="N178" s="205">
        <f t="shared" si="49"/>
        <v>856.90098070649128</v>
      </c>
      <c r="O178" s="204">
        <v>0</v>
      </c>
      <c r="P178" s="204">
        <v>0</v>
      </c>
      <c r="Q178" s="204">
        <v>0</v>
      </c>
      <c r="R178" s="205">
        <f t="shared" si="50"/>
        <v>856.90098070649128</v>
      </c>
    </row>
    <row r="179" spans="1:18" x14ac:dyDescent="0.2">
      <c r="A179" s="124">
        <v>4</v>
      </c>
      <c r="B179" s="196">
        <f t="shared" si="45"/>
        <v>44287</v>
      </c>
      <c r="C179" s="219">
        <f t="shared" si="55"/>
        <v>44321</v>
      </c>
      <c r="D179" s="219">
        <f t="shared" si="55"/>
        <v>44340</v>
      </c>
      <c r="E179" s="54" t="s">
        <v>56</v>
      </c>
      <c r="F179" s="236">
        <v>9</v>
      </c>
      <c r="G179" s="199">
        <v>20</v>
      </c>
      <c r="H179" s="200">
        <f t="shared" si="46"/>
        <v>2195.4899999999998</v>
      </c>
      <c r="I179" s="200">
        <f t="shared" si="44"/>
        <v>2247.39</v>
      </c>
      <c r="J179" s="201">
        <f t="shared" si="47"/>
        <v>44947.799999999996</v>
      </c>
      <c r="K179" s="202">
        <f t="shared" si="41"/>
        <v>43909.799999999996</v>
      </c>
      <c r="L179" s="203">
        <f t="shared" ref="L179:L189" si="56">+J179-K179</f>
        <v>1038</v>
      </c>
      <c r="M179" s="204">
        <f t="shared" si="48"/>
        <v>33.126225883112248</v>
      </c>
      <c r="N179" s="205">
        <f t="shared" si="49"/>
        <v>1071.1262258831123</v>
      </c>
      <c r="O179" s="204">
        <v>0</v>
      </c>
      <c r="P179" s="204">
        <v>0</v>
      </c>
      <c r="Q179" s="204">
        <v>0</v>
      </c>
      <c r="R179" s="205">
        <f t="shared" si="50"/>
        <v>1071.1262258831123</v>
      </c>
    </row>
    <row r="180" spans="1:18" x14ac:dyDescent="0.2">
      <c r="A180" s="161">
        <v>5</v>
      </c>
      <c r="B180" s="196">
        <f t="shared" si="45"/>
        <v>44317</v>
      </c>
      <c r="C180" s="219">
        <f t="shared" si="55"/>
        <v>44350</v>
      </c>
      <c r="D180" s="219">
        <f t="shared" si="55"/>
        <v>44371</v>
      </c>
      <c r="E180" s="54" t="s">
        <v>56</v>
      </c>
      <c r="F180" s="236">
        <v>9</v>
      </c>
      <c r="G180" s="199">
        <v>27</v>
      </c>
      <c r="H180" s="200">
        <f t="shared" si="46"/>
        <v>2195.4899999999998</v>
      </c>
      <c r="I180" s="200">
        <f t="shared" ref="I180:I211" si="57">$J$3</f>
        <v>2247.39</v>
      </c>
      <c r="J180" s="201">
        <f t="shared" si="47"/>
        <v>60679.53</v>
      </c>
      <c r="K180" s="202">
        <f t="shared" si="41"/>
        <v>59278.229999999996</v>
      </c>
      <c r="L180" s="203">
        <f t="shared" si="56"/>
        <v>1401.3000000000029</v>
      </c>
      <c r="M180" s="204">
        <f t="shared" si="48"/>
        <v>44.720404942201533</v>
      </c>
      <c r="N180" s="205">
        <f t="shared" si="49"/>
        <v>1446.0204049422046</v>
      </c>
      <c r="O180" s="204">
        <v>0</v>
      </c>
      <c r="P180" s="204">
        <v>0</v>
      </c>
      <c r="Q180" s="204">
        <v>0</v>
      </c>
      <c r="R180" s="205">
        <f t="shared" si="50"/>
        <v>1446.0204049422046</v>
      </c>
    </row>
    <row r="181" spans="1:18" x14ac:dyDescent="0.2">
      <c r="A181" s="161">
        <v>6</v>
      </c>
      <c r="B181" s="196">
        <f t="shared" si="45"/>
        <v>44348</v>
      </c>
      <c r="C181" s="219">
        <f t="shared" si="55"/>
        <v>44383</v>
      </c>
      <c r="D181" s="219">
        <f t="shared" si="55"/>
        <v>44401</v>
      </c>
      <c r="E181" s="54" t="s">
        <v>56</v>
      </c>
      <c r="F181" s="236">
        <v>9</v>
      </c>
      <c r="G181" s="199">
        <v>32</v>
      </c>
      <c r="H181" s="200">
        <f t="shared" si="46"/>
        <v>2195.4899999999998</v>
      </c>
      <c r="I181" s="200">
        <f t="shared" si="57"/>
        <v>2247.39</v>
      </c>
      <c r="J181" s="201">
        <f t="shared" si="47"/>
        <v>71916.479999999996</v>
      </c>
      <c r="K181" s="202">
        <f t="shared" si="41"/>
        <v>70255.679999999993</v>
      </c>
      <c r="L181" s="207">
        <f t="shared" si="56"/>
        <v>1660.8000000000029</v>
      </c>
      <c r="M181" s="204">
        <f t="shared" si="48"/>
        <v>53.001961412979597</v>
      </c>
      <c r="N181" s="205">
        <f t="shared" si="49"/>
        <v>1713.8019614129826</v>
      </c>
      <c r="O181" s="204">
        <v>0</v>
      </c>
      <c r="P181" s="204">
        <v>0</v>
      </c>
      <c r="Q181" s="204">
        <v>0</v>
      </c>
      <c r="R181" s="205">
        <f t="shared" si="50"/>
        <v>1713.8019614129826</v>
      </c>
    </row>
    <row r="182" spans="1:18" x14ac:dyDescent="0.2">
      <c r="A182" s="124">
        <v>7</v>
      </c>
      <c r="B182" s="196">
        <f t="shared" si="45"/>
        <v>44378</v>
      </c>
      <c r="C182" s="219">
        <f t="shared" si="55"/>
        <v>44412</v>
      </c>
      <c r="D182" s="219">
        <f t="shared" si="55"/>
        <v>44432</v>
      </c>
      <c r="E182" s="54" t="s">
        <v>56</v>
      </c>
      <c r="F182" s="236">
        <v>9</v>
      </c>
      <c r="G182" s="199">
        <v>37</v>
      </c>
      <c r="H182" s="200">
        <f t="shared" si="46"/>
        <v>2195.4899999999998</v>
      </c>
      <c r="I182" s="200">
        <f t="shared" si="57"/>
        <v>2247.39</v>
      </c>
      <c r="J182" s="201">
        <f t="shared" si="47"/>
        <v>83153.429999999993</v>
      </c>
      <c r="K182" s="208">
        <f t="shared" si="41"/>
        <v>81233.12999999999</v>
      </c>
      <c r="L182" s="207">
        <f t="shared" si="56"/>
        <v>1920.3000000000029</v>
      </c>
      <c r="M182" s="204">
        <f t="shared" si="48"/>
        <v>61.283517883757661</v>
      </c>
      <c r="N182" s="205">
        <f t="shared" si="49"/>
        <v>1981.5835178837606</v>
      </c>
      <c r="O182" s="204">
        <v>0</v>
      </c>
      <c r="P182" s="204">
        <v>0</v>
      </c>
      <c r="Q182" s="204">
        <v>0</v>
      </c>
      <c r="R182" s="205">
        <f t="shared" si="50"/>
        <v>1981.5835178837606</v>
      </c>
    </row>
    <row r="183" spans="1:18" x14ac:dyDescent="0.2">
      <c r="A183" s="161">
        <v>8</v>
      </c>
      <c r="B183" s="196">
        <f t="shared" si="45"/>
        <v>44409</v>
      </c>
      <c r="C183" s="219">
        <f t="shared" si="55"/>
        <v>44442</v>
      </c>
      <c r="D183" s="219">
        <f t="shared" si="55"/>
        <v>44463</v>
      </c>
      <c r="E183" s="54" t="s">
        <v>56</v>
      </c>
      <c r="F183" s="236">
        <v>9</v>
      </c>
      <c r="G183" s="199">
        <v>33</v>
      </c>
      <c r="H183" s="200">
        <f t="shared" si="46"/>
        <v>2195.4899999999998</v>
      </c>
      <c r="I183" s="200">
        <f t="shared" si="57"/>
        <v>2247.39</v>
      </c>
      <c r="J183" s="201">
        <f t="shared" si="47"/>
        <v>74163.87</v>
      </c>
      <c r="K183" s="208">
        <f t="shared" si="41"/>
        <v>72451.17</v>
      </c>
      <c r="L183" s="207">
        <f t="shared" si="56"/>
        <v>1712.6999999999971</v>
      </c>
      <c r="M183" s="204">
        <f t="shared" si="48"/>
        <v>54.658272707135204</v>
      </c>
      <c r="N183" s="205">
        <f t="shared" si="49"/>
        <v>1767.3582727071323</v>
      </c>
      <c r="O183" s="204">
        <v>0</v>
      </c>
      <c r="P183" s="204">
        <v>0</v>
      </c>
      <c r="Q183" s="204">
        <v>0</v>
      </c>
      <c r="R183" s="205">
        <f t="shared" si="50"/>
        <v>1767.3582727071323</v>
      </c>
    </row>
    <row r="184" spans="1:18" x14ac:dyDescent="0.2">
      <c r="A184" s="161">
        <v>9</v>
      </c>
      <c r="B184" s="196">
        <f t="shared" si="45"/>
        <v>44440</v>
      </c>
      <c r="C184" s="219">
        <f t="shared" si="55"/>
        <v>44474</v>
      </c>
      <c r="D184" s="219">
        <f t="shared" si="55"/>
        <v>44494</v>
      </c>
      <c r="E184" s="54" t="s">
        <v>56</v>
      </c>
      <c r="F184" s="236">
        <v>9</v>
      </c>
      <c r="G184" s="199">
        <v>37</v>
      </c>
      <c r="H184" s="200">
        <f t="shared" si="46"/>
        <v>2195.4899999999998</v>
      </c>
      <c r="I184" s="200">
        <f t="shared" si="57"/>
        <v>2247.39</v>
      </c>
      <c r="J184" s="201">
        <f t="shared" si="47"/>
        <v>83153.429999999993</v>
      </c>
      <c r="K184" s="208">
        <f t="shared" si="41"/>
        <v>81233.12999999999</v>
      </c>
      <c r="L184" s="207">
        <f t="shared" si="56"/>
        <v>1920.3000000000029</v>
      </c>
      <c r="M184" s="204">
        <f t="shared" si="48"/>
        <v>61.283517883757661</v>
      </c>
      <c r="N184" s="205">
        <f t="shared" si="49"/>
        <v>1981.5835178837606</v>
      </c>
      <c r="O184" s="204">
        <v>0</v>
      </c>
      <c r="P184" s="204">
        <v>0</v>
      </c>
      <c r="Q184" s="204">
        <v>0</v>
      </c>
      <c r="R184" s="205">
        <f t="shared" si="50"/>
        <v>1981.5835178837606</v>
      </c>
    </row>
    <row r="185" spans="1:18" x14ac:dyDescent="0.2">
      <c r="A185" s="124">
        <v>10</v>
      </c>
      <c r="B185" s="196">
        <f t="shared" si="45"/>
        <v>44470</v>
      </c>
      <c r="C185" s="219">
        <f t="shared" si="55"/>
        <v>44503</v>
      </c>
      <c r="D185" s="219">
        <f t="shared" si="55"/>
        <v>44524</v>
      </c>
      <c r="E185" s="54" t="s">
        <v>56</v>
      </c>
      <c r="F185" s="236">
        <v>9</v>
      </c>
      <c r="G185" s="199">
        <v>27</v>
      </c>
      <c r="H185" s="200">
        <f t="shared" si="46"/>
        <v>2195.4899999999998</v>
      </c>
      <c r="I185" s="200">
        <f t="shared" si="57"/>
        <v>2247.39</v>
      </c>
      <c r="J185" s="201">
        <f t="shared" si="47"/>
        <v>60679.53</v>
      </c>
      <c r="K185" s="208">
        <f t="shared" si="41"/>
        <v>59278.229999999996</v>
      </c>
      <c r="L185" s="207">
        <f t="shared" si="56"/>
        <v>1401.3000000000029</v>
      </c>
      <c r="M185" s="204">
        <f t="shared" si="48"/>
        <v>44.720404942201533</v>
      </c>
      <c r="N185" s="205">
        <f t="shared" si="49"/>
        <v>1446.0204049422046</v>
      </c>
      <c r="O185" s="204">
        <v>0</v>
      </c>
      <c r="P185" s="204">
        <v>0</v>
      </c>
      <c r="Q185" s="204">
        <v>0</v>
      </c>
      <c r="R185" s="205">
        <f t="shared" si="50"/>
        <v>1446.0204049422046</v>
      </c>
    </row>
    <row r="186" spans="1:18" x14ac:dyDescent="0.2">
      <c r="A186" s="161">
        <v>11</v>
      </c>
      <c r="B186" s="196">
        <f t="shared" si="45"/>
        <v>44501</v>
      </c>
      <c r="C186" s="219">
        <f t="shared" si="55"/>
        <v>44533</v>
      </c>
      <c r="D186" s="219">
        <f t="shared" si="55"/>
        <v>44557</v>
      </c>
      <c r="E186" s="54" t="s">
        <v>56</v>
      </c>
      <c r="F186" s="236">
        <v>9</v>
      </c>
      <c r="G186" s="199">
        <v>16</v>
      </c>
      <c r="H186" s="200">
        <f t="shared" si="46"/>
        <v>2195.4899999999998</v>
      </c>
      <c r="I186" s="200">
        <f t="shared" si="57"/>
        <v>2247.39</v>
      </c>
      <c r="J186" s="201">
        <f t="shared" si="47"/>
        <v>35958.239999999998</v>
      </c>
      <c r="K186" s="208">
        <f t="shared" si="41"/>
        <v>35127.839999999997</v>
      </c>
      <c r="L186" s="207">
        <f t="shared" si="56"/>
        <v>830.40000000000146</v>
      </c>
      <c r="M186" s="204">
        <f t="shared" si="48"/>
        <v>26.500980706489798</v>
      </c>
      <c r="N186" s="205">
        <f t="shared" si="49"/>
        <v>856.90098070649128</v>
      </c>
      <c r="O186" s="204">
        <v>0</v>
      </c>
      <c r="P186" s="204">
        <v>0</v>
      </c>
      <c r="Q186" s="204">
        <v>0</v>
      </c>
      <c r="R186" s="205">
        <f t="shared" si="50"/>
        <v>856.90098070649128</v>
      </c>
    </row>
    <row r="187" spans="1:18" s="223" customFormat="1" x14ac:dyDescent="0.2">
      <c r="A187" s="161">
        <v>12</v>
      </c>
      <c r="B187" s="221">
        <f t="shared" si="45"/>
        <v>44531</v>
      </c>
      <c r="C187" s="219">
        <f t="shared" si="55"/>
        <v>44566</v>
      </c>
      <c r="D187" s="219">
        <f t="shared" si="55"/>
        <v>44585</v>
      </c>
      <c r="E187" s="222" t="s">
        <v>56</v>
      </c>
      <c r="F187" s="238">
        <v>9</v>
      </c>
      <c r="G187" s="211">
        <v>19</v>
      </c>
      <c r="H187" s="212">
        <f t="shared" si="46"/>
        <v>2195.4899999999998</v>
      </c>
      <c r="I187" s="212">
        <f t="shared" si="57"/>
        <v>2247.39</v>
      </c>
      <c r="J187" s="213">
        <f t="shared" si="47"/>
        <v>42700.409999999996</v>
      </c>
      <c r="K187" s="214">
        <f t="shared" si="41"/>
        <v>41714.31</v>
      </c>
      <c r="L187" s="215">
        <f t="shared" si="56"/>
        <v>986.09999999999854</v>
      </c>
      <c r="M187" s="204">
        <f t="shared" si="48"/>
        <v>31.469914588956634</v>
      </c>
      <c r="N187" s="205">
        <f t="shared" si="49"/>
        <v>1017.5699145889552</v>
      </c>
      <c r="O187" s="204">
        <v>0</v>
      </c>
      <c r="P187" s="204">
        <v>0</v>
      </c>
      <c r="Q187" s="204">
        <v>0</v>
      </c>
      <c r="R187" s="205">
        <f t="shared" si="50"/>
        <v>1017.5699145889552</v>
      </c>
    </row>
    <row r="188" spans="1:18" x14ac:dyDescent="0.2">
      <c r="A188" s="124">
        <v>1</v>
      </c>
      <c r="B188" s="196">
        <f t="shared" si="45"/>
        <v>44197</v>
      </c>
      <c r="C188" s="217">
        <f t="shared" ref="C188:D211" si="58">+C176</f>
        <v>44230</v>
      </c>
      <c r="D188" s="217">
        <f t="shared" si="58"/>
        <v>44251</v>
      </c>
      <c r="E188" s="198" t="s">
        <v>57</v>
      </c>
      <c r="F188" s="148">
        <v>9</v>
      </c>
      <c r="G188" s="199">
        <v>35</v>
      </c>
      <c r="H188" s="200">
        <f t="shared" si="46"/>
        <v>2195.4899999999998</v>
      </c>
      <c r="I188" s="200">
        <f t="shared" si="57"/>
        <v>2247.39</v>
      </c>
      <c r="J188" s="201">
        <f t="shared" si="47"/>
        <v>78658.649999999994</v>
      </c>
      <c r="K188" s="202">
        <f t="shared" si="41"/>
        <v>76842.149999999994</v>
      </c>
      <c r="L188" s="203">
        <f t="shared" si="56"/>
        <v>1816.5</v>
      </c>
      <c r="M188" s="204">
        <f t="shared" si="48"/>
        <v>57.970895295446439</v>
      </c>
      <c r="N188" s="205">
        <f t="shared" si="49"/>
        <v>1874.4708952954466</v>
      </c>
      <c r="O188" s="204">
        <v>0</v>
      </c>
      <c r="P188" s="204">
        <v>0</v>
      </c>
      <c r="Q188" s="204">
        <v>0</v>
      </c>
      <c r="R188" s="205">
        <f t="shared" si="50"/>
        <v>1874.4708952954466</v>
      </c>
    </row>
    <row r="189" spans="1:18" x14ac:dyDescent="0.2">
      <c r="A189" s="161">
        <v>2</v>
      </c>
      <c r="B189" s="196">
        <f t="shared" si="45"/>
        <v>44228</v>
      </c>
      <c r="C189" s="219">
        <f t="shared" si="58"/>
        <v>44258</v>
      </c>
      <c r="D189" s="219">
        <f t="shared" si="58"/>
        <v>44279</v>
      </c>
      <c r="E189" s="206" t="s">
        <v>57</v>
      </c>
      <c r="F189" s="236">
        <v>9</v>
      </c>
      <c r="G189" s="199">
        <v>33</v>
      </c>
      <c r="H189" s="200">
        <f t="shared" si="46"/>
        <v>2195.4899999999998</v>
      </c>
      <c r="I189" s="200">
        <f t="shared" si="57"/>
        <v>2247.39</v>
      </c>
      <c r="J189" s="201">
        <f t="shared" si="47"/>
        <v>74163.87</v>
      </c>
      <c r="K189" s="202">
        <f t="shared" si="41"/>
        <v>72451.17</v>
      </c>
      <c r="L189" s="203">
        <f t="shared" si="56"/>
        <v>1712.6999999999971</v>
      </c>
      <c r="M189" s="204">
        <f t="shared" si="48"/>
        <v>54.658272707135204</v>
      </c>
      <c r="N189" s="205">
        <f t="shared" si="49"/>
        <v>1767.3582727071323</v>
      </c>
      <c r="O189" s="204">
        <v>0</v>
      </c>
      <c r="P189" s="204">
        <v>0</v>
      </c>
      <c r="Q189" s="204">
        <v>0</v>
      </c>
      <c r="R189" s="205">
        <f t="shared" si="50"/>
        <v>1767.3582727071323</v>
      </c>
    </row>
    <row r="190" spans="1:18" x14ac:dyDescent="0.2">
      <c r="A190" s="161">
        <v>3</v>
      </c>
      <c r="B190" s="196">
        <f t="shared" si="45"/>
        <v>44256</v>
      </c>
      <c r="C190" s="219">
        <f t="shared" si="58"/>
        <v>44291</v>
      </c>
      <c r="D190" s="219">
        <f t="shared" si="58"/>
        <v>44312</v>
      </c>
      <c r="E190" s="206" t="s">
        <v>57</v>
      </c>
      <c r="F190" s="236">
        <v>9</v>
      </c>
      <c r="G190" s="199">
        <v>30</v>
      </c>
      <c r="H190" s="200">
        <f t="shared" si="46"/>
        <v>2195.4899999999998</v>
      </c>
      <c r="I190" s="200">
        <f t="shared" si="57"/>
        <v>2247.39</v>
      </c>
      <c r="J190" s="201">
        <f t="shared" si="47"/>
        <v>67421.7</v>
      </c>
      <c r="K190" s="202">
        <f t="shared" si="41"/>
        <v>65864.7</v>
      </c>
      <c r="L190" s="203">
        <f>+J190-K190</f>
        <v>1557</v>
      </c>
      <c r="M190" s="204">
        <f t="shared" si="48"/>
        <v>49.689338824668368</v>
      </c>
      <c r="N190" s="205">
        <f t="shared" si="49"/>
        <v>1606.6893388246683</v>
      </c>
      <c r="O190" s="204">
        <v>0</v>
      </c>
      <c r="P190" s="204">
        <v>0</v>
      </c>
      <c r="Q190" s="204">
        <v>0</v>
      </c>
      <c r="R190" s="205">
        <f t="shared" si="50"/>
        <v>1606.6893388246683</v>
      </c>
    </row>
    <row r="191" spans="1:18" x14ac:dyDescent="0.2">
      <c r="A191" s="124">
        <v>4</v>
      </c>
      <c r="B191" s="196">
        <f t="shared" si="45"/>
        <v>44287</v>
      </c>
      <c r="C191" s="219">
        <f t="shared" si="58"/>
        <v>44321</v>
      </c>
      <c r="D191" s="219">
        <f t="shared" si="58"/>
        <v>44340</v>
      </c>
      <c r="E191" s="54" t="s">
        <v>57</v>
      </c>
      <c r="F191" s="236">
        <v>9</v>
      </c>
      <c r="G191" s="199">
        <v>32</v>
      </c>
      <c r="H191" s="200">
        <f t="shared" si="46"/>
        <v>2195.4899999999998</v>
      </c>
      <c r="I191" s="200">
        <f t="shared" si="57"/>
        <v>2247.39</v>
      </c>
      <c r="J191" s="201">
        <f t="shared" si="47"/>
        <v>71916.479999999996</v>
      </c>
      <c r="K191" s="202">
        <f t="shared" si="41"/>
        <v>70255.679999999993</v>
      </c>
      <c r="L191" s="203">
        <f t="shared" ref="L191:L201" si="59">+J191-K191</f>
        <v>1660.8000000000029</v>
      </c>
      <c r="M191" s="204">
        <f t="shared" si="48"/>
        <v>53.001961412979597</v>
      </c>
      <c r="N191" s="205">
        <f t="shared" si="49"/>
        <v>1713.8019614129826</v>
      </c>
      <c r="O191" s="204">
        <v>0</v>
      </c>
      <c r="P191" s="204">
        <v>0</v>
      </c>
      <c r="Q191" s="204">
        <v>0</v>
      </c>
      <c r="R191" s="205">
        <f t="shared" si="50"/>
        <v>1713.8019614129826</v>
      </c>
    </row>
    <row r="192" spans="1:18" x14ac:dyDescent="0.2">
      <c r="A192" s="161">
        <v>5</v>
      </c>
      <c r="B192" s="196">
        <f t="shared" si="45"/>
        <v>44317</v>
      </c>
      <c r="C192" s="219">
        <f t="shared" si="58"/>
        <v>44350</v>
      </c>
      <c r="D192" s="219">
        <f t="shared" si="58"/>
        <v>44371</v>
      </c>
      <c r="E192" s="54" t="s">
        <v>57</v>
      </c>
      <c r="F192" s="236">
        <v>9</v>
      </c>
      <c r="G192" s="199">
        <v>40</v>
      </c>
      <c r="H192" s="200">
        <f t="shared" si="46"/>
        <v>2195.4899999999998</v>
      </c>
      <c r="I192" s="200">
        <f t="shared" si="57"/>
        <v>2247.39</v>
      </c>
      <c r="J192" s="201">
        <f t="shared" si="47"/>
        <v>89895.599999999991</v>
      </c>
      <c r="K192" s="202">
        <f t="shared" si="41"/>
        <v>87819.599999999991</v>
      </c>
      <c r="L192" s="203">
        <f t="shared" si="59"/>
        <v>2076</v>
      </c>
      <c r="M192" s="204">
        <f t="shared" si="48"/>
        <v>66.252451766224496</v>
      </c>
      <c r="N192" s="205">
        <f t="shared" si="49"/>
        <v>2142.2524517662246</v>
      </c>
      <c r="O192" s="204">
        <v>0</v>
      </c>
      <c r="P192" s="204">
        <v>0</v>
      </c>
      <c r="Q192" s="204">
        <v>0</v>
      </c>
      <c r="R192" s="205">
        <f t="shared" si="50"/>
        <v>2142.2524517662246</v>
      </c>
    </row>
    <row r="193" spans="1:18" x14ac:dyDescent="0.2">
      <c r="A193" s="161">
        <v>6</v>
      </c>
      <c r="B193" s="196">
        <f t="shared" si="45"/>
        <v>44348</v>
      </c>
      <c r="C193" s="219">
        <f t="shared" si="58"/>
        <v>44383</v>
      </c>
      <c r="D193" s="219">
        <f t="shared" si="58"/>
        <v>44401</v>
      </c>
      <c r="E193" s="54" t="s">
        <v>57</v>
      </c>
      <c r="F193" s="236">
        <v>9</v>
      </c>
      <c r="G193" s="199">
        <v>46</v>
      </c>
      <c r="H193" s="200">
        <f t="shared" si="46"/>
        <v>2195.4899999999998</v>
      </c>
      <c r="I193" s="200">
        <f t="shared" si="57"/>
        <v>2247.39</v>
      </c>
      <c r="J193" s="201">
        <f t="shared" si="47"/>
        <v>103379.93999999999</v>
      </c>
      <c r="K193" s="202">
        <f t="shared" si="41"/>
        <v>100992.54</v>
      </c>
      <c r="L193" s="207">
        <f t="shared" si="59"/>
        <v>2387.3999999999942</v>
      </c>
      <c r="M193" s="204">
        <f t="shared" si="48"/>
        <v>76.190319531158167</v>
      </c>
      <c r="N193" s="205">
        <f t="shared" si="49"/>
        <v>2463.5903195311525</v>
      </c>
      <c r="O193" s="204">
        <v>0</v>
      </c>
      <c r="P193" s="204">
        <v>0</v>
      </c>
      <c r="Q193" s="204">
        <v>0</v>
      </c>
      <c r="R193" s="205">
        <f t="shared" si="50"/>
        <v>2463.5903195311525</v>
      </c>
    </row>
    <row r="194" spans="1:18" x14ac:dyDescent="0.2">
      <c r="A194" s="124">
        <v>7</v>
      </c>
      <c r="B194" s="196">
        <f t="shared" si="45"/>
        <v>44378</v>
      </c>
      <c r="C194" s="219">
        <f t="shared" si="58"/>
        <v>44412</v>
      </c>
      <c r="D194" s="219">
        <f t="shared" si="58"/>
        <v>44432</v>
      </c>
      <c r="E194" s="54" t="s">
        <v>57</v>
      </c>
      <c r="F194" s="236">
        <v>9</v>
      </c>
      <c r="G194" s="199">
        <v>48</v>
      </c>
      <c r="H194" s="200">
        <f t="shared" si="46"/>
        <v>2195.4899999999998</v>
      </c>
      <c r="I194" s="200">
        <f t="shared" si="57"/>
        <v>2247.39</v>
      </c>
      <c r="J194" s="201">
        <f t="shared" si="47"/>
        <v>107874.72</v>
      </c>
      <c r="K194" s="208">
        <f t="shared" si="41"/>
        <v>105383.51999999999</v>
      </c>
      <c r="L194" s="207">
        <f t="shared" si="59"/>
        <v>2491.2000000000116</v>
      </c>
      <c r="M194" s="204">
        <f t="shared" si="48"/>
        <v>79.502942119469395</v>
      </c>
      <c r="N194" s="205">
        <f t="shared" si="49"/>
        <v>2570.7029421194811</v>
      </c>
      <c r="O194" s="204">
        <v>0</v>
      </c>
      <c r="P194" s="204">
        <v>0</v>
      </c>
      <c r="Q194" s="204">
        <v>0</v>
      </c>
      <c r="R194" s="205">
        <f t="shared" si="50"/>
        <v>2570.7029421194811</v>
      </c>
    </row>
    <row r="195" spans="1:18" x14ac:dyDescent="0.2">
      <c r="A195" s="161">
        <v>8</v>
      </c>
      <c r="B195" s="196">
        <f t="shared" si="45"/>
        <v>44409</v>
      </c>
      <c r="C195" s="219">
        <f t="shared" si="58"/>
        <v>44442</v>
      </c>
      <c r="D195" s="219">
        <f t="shared" si="58"/>
        <v>44463</v>
      </c>
      <c r="E195" s="54" t="s">
        <v>57</v>
      </c>
      <c r="F195" s="236">
        <v>9</v>
      </c>
      <c r="G195" s="199">
        <v>50</v>
      </c>
      <c r="H195" s="200">
        <f t="shared" si="46"/>
        <v>2195.4899999999998</v>
      </c>
      <c r="I195" s="200">
        <f t="shared" si="57"/>
        <v>2247.39</v>
      </c>
      <c r="J195" s="201">
        <f t="shared" si="47"/>
        <v>112369.5</v>
      </c>
      <c r="K195" s="208">
        <f t="shared" si="41"/>
        <v>109774.49999999999</v>
      </c>
      <c r="L195" s="207">
        <f t="shared" si="59"/>
        <v>2595.0000000000146</v>
      </c>
      <c r="M195" s="204">
        <f t="shared" si="48"/>
        <v>82.815564707780624</v>
      </c>
      <c r="N195" s="205">
        <f t="shared" si="49"/>
        <v>2677.8155647077951</v>
      </c>
      <c r="O195" s="204">
        <v>0</v>
      </c>
      <c r="P195" s="204">
        <v>0</v>
      </c>
      <c r="Q195" s="204">
        <v>0</v>
      </c>
      <c r="R195" s="205">
        <f t="shared" si="50"/>
        <v>2677.8155647077951</v>
      </c>
    </row>
    <row r="196" spans="1:18" x14ac:dyDescent="0.2">
      <c r="A196" s="161">
        <v>9</v>
      </c>
      <c r="B196" s="196">
        <f t="shared" si="45"/>
        <v>44440</v>
      </c>
      <c r="C196" s="219">
        <f t="shared" si="58"/>
        <v>44474</v>
      </c>
      <c r="D196" s="219">
        <f t="shared" si="58"/>
        <v>44494</v>
      </c>
      <c r="E196" s="54" t="s">
        <v>57</v>
      </c>
      <c r="F196" s="236">
        <v>9</v>
      </c>
      <c r="G196" s="199">
        <v>52</v>
      </c>
      <c r="H196" s="200">
        <f t="shared" si="46"/>
        <v>2195.4899999999998</v>
      </c>
      <c r="I196" s="200">
        <f t="shared" si="57"/>
        <v>2247.39</v>
      </c>
      <c r="J196" s="201">
        <f t="shared" si="47"/>
        <v>116864.28</v>
      </c>
      <c r="K196" s="208">
        <f t="shared" si="41"/>
        <v>114165.47999999998</v>
      </c>
      <c r="L196" s="207">
        <f t="shared" si="59"/>
        <v>2698.8000000000175</v>
      </c>
      <c r="M196" s="204">
        <f t="shared" si="48"/>
        <v>86.128187296091852</v>
      </c>
      <c r="N196" s="205">
        <f t="shared" si="49"/>
        <v>2784.9281872961092</v>
      </c>
      <c r="O196" s="204">
        <v>0</v>
      </c>
      <c r="P196" s="204">
        <v>0</v>
      </c>
      <c r="Q196" s="204">
        <v>0</v>
      </c>
      <c r="R196" s="205">
        <f t="shared" si="50"/>
        <v>2784.9281872961092</v>
      </c>
    </row>
    <row r="197" spans="1:18" x14ac:dyDescent="0.2">
      <c r="A197" s="124">
        <v>10</v>
      </c>
      <c r="B197" s="196">
        <f t="shared" si="45"/>
        <v>44470</v>
      </c>
      <c r="C197" s="219">
        <f t="shared" si="58"/>
        <v>44503</v>
      </c>
      <c r="D197" s="219">
        <f t="shared" si="58"/>
        <v>44524</v>
      </c>
      <c r="E197" s="54" t="s">
        <v>57</v>
      </c>
      <c r="F197" s="236">
        <v>9</v>
      </c>
      <c r="G197" s="199">
        <v>40</v>
      </c>
      <c r="H197" s="200">
        <f t="shared" si="46"/>
        <v>2195.4899999999998</v>
      </c>
      <c r="I197" s="200">
        <f t="shared" si="57"/>
        <v>2247.39</v>
      </c>
      <c r="J197" s="201">
        <f t="shared" si="47"/>
        <v>89895.599999999991</v>
      </c>
      <c r="K197" s="208">
        <f t="shared" si="41"/>
        <v>87819.599999999991</v>
      </c>
      <c r="L197" s="207">
        <f t="shared" si="59"/>
        <v>2076</v>
      </c>
      <c r="M197" s="204">
        <f t="shared" si="48"/>
        <v>66.252451766224496</v>
      </c>
      <c r="N197" s="205">
        <f t="shared" si="49"/>
        <v>2142.2524517662246</v>
      </c>
      <c r="O197" s="204">
        <v>0</v>
      </c>
      <c r="P197" s="204">
        <v>0</v>
      </c>
      <c r="Q197" s="204">
        <v>0</v>
      </c>
      <c r="R197" s="205">
        <f t="shared" si="50"/>
        <v>2142.2524517662246</v>
      </c>
    </row>
    <row r="198" spans="1:18" x14ac:dyDescent="0.2">
      <c r="A198" s="161">
        <v>11</v>
      </c>
      <c r="B198" s="196">
        <f t="shared" si="45"/>
        <v>44501</v>
      </c>
      <c r="C198" s="219">
        <f t="shared" si="58"/>
        <v>44533</v>
      </c>
      <c r="D198" s="219">
        <f t="shared" si="58"/>
        <v>44557</v>
      </c>
      <c r="E198" s="54" t="s">
        <v>57</v>
      </c>
      <c r="F198" s="236">
        <v>9</v>
      </c>
      <c r="G198" s="199">
        <v>32</v>
      </c>
      <c r="H198" s="200">
        <f t="shared" si="46"/>
        <v>2195.4899999999998</v>
      </c>
      <c r="I198" s="200">
        <f t="shared" si="57"/>
        <v>2247.39</v>
      </c>
      <c r="J198" s="201">
        <f t="shared" si="47"/>
        <v>71916.479999999996</v>
      </c>
      <c r="K198" s="208">
        <f t="shared" ref="K198:K209" si="60">+$G198*H198</f>
        <v>70255.679999999993</v>
      </c>
      <c r="L198" s="207">
        <f t="shared" si="59"/>
        <v>1660.8000000000029</v>
      </c>
      <c r="M198" s="204">
        <f t="shared" si="48"/>
        <v>53.001961412979597</v>
      </c>
      <c r="N198" s="205">
        <f t="shared" si="49"/>
        <v>1713.8019614129826</v>
      </c>
      <c r="O198" s="204">
        <v>0</v>
      </c>
      <c r="P198" s="204">
        <v>0</v>
      </c>
      <c r="Q198" s="204">
        <v>0</v>
      </c>
      <c r="R198" s="205">
        <f t="shared" si="50"/>
        <v>1713.8019614129826</v>
      </c>
    </row>
    <row r="199" spans="1:18" s="223" customFormat="1" x14ac:dyDescent="0.2">
      <c r="A199" s="161">
        <v>12</v>
      </c>
      <c r="B199" s="221">
        <f t="shared" si="45"/>
        <v>44531</v>
      </c>
      <c r="C199" s="219">
        <f t="shared" si="58"/>
        <v>44566</v>
      </c>
      <c r="D199" s="219">
        <f t="shared" si="58"/>
        <v>44585</v>
      </c>
      <c r="E199" s="222" t="s">
        <v>57</v>
      </c>
      <c r="F199" s="238">
        <v>9</v>
      </c>
      <c r="G199" s="211">
        <v>35</v>
      </c>
      <c r="H199" s="212">
        <f t="shared" si="46"/>
        <v>2195.4899999999998</v>
      </c>
      <c r="I199" s="212">
        <f t="shared" si="57"/>
        <v>2247.39</v>
      </c>
      <c r="J199" s="213">
        <f t="shared" si="47"/>
        <v>78658.649999999994</v>
      </c>
      <c r="K199" s="214">
        <f t="shared" si="60"/>
        <v>76842.149999999994</v>
      </c>
      <c r="L199" s="215">
        <f t="shared" si="59"/>
        <v>1816.5</v>
      </c>
      <c r="M199" s="204">
        <f t="shared" si="48"/>
        <v>57.970895295446439</v>
      </c>
      <c r="N199" s="205">
        <f t="shared" si="49"/>
        <v>1874.4708952954466</v>
      </c>
      <c r="O199" s="204">
        <v>0</v>
      </c>
      <c r="P199" s="204">
        <v>0</v>
      </c>
      <c r="Q199" s="204">
        <v>0</v>
      </c>
      <c r="R199" s="205">
        <f t="shared" si="50"/>
        <v>1874.4708952954466</v>
      </c>
    </row>
    <row r="200" spans="1:18" x14ac:dyDescent="0.2">
      <c r="A200" s="124">
        <v>1</v>
      </c>
      <c r="B200" s="196">
        <f t="shared" si="45"/>
        <v>44197</v>
      </c>
      <c r="C200" s="217">
        <f t="shared" si="58"/>
        <v>44230</v>
      </c>
      <c r="D200" s="217">
        <f t="shared" si="58"/>
        <v>44251</v>
      </c>
      <c r="E200" s="198" t="s">
        <v>17</v>
      </c>
      <c r="F200" s="148">
        <v>9</v>
      </c>
      <c r="G200" s="199">
        <v>94</v>
      </c>
      <c r="H200" s="200">
        <f t="shared" si="46"/>
        <v>2195.4899999999998</v>
      </c>
      <c r="I200" s="200">
        <f t="shared" si="57"/>
        <v>2247.39</v>
      </c>
      <c r="J200" s="201">
        <f t="shared" si="47"/>
        <v>211254.65999999997</v>
      </c>
      <c r="K200" s="202">
        <f t="shared" si="60"/>
        <v>206376.05999999997</v>
      </c>
      <c r="L200" s="203">
        <f t="shared" si="59"/>
        <v>4878.6000000000058</v>
      </c>
      <c r="M200" s="204">
        <f t="shared" si="48"/>
        <v>155.69326165062756</v>
      </c>
      <c r="N200" s="205">
        <f t="shared" si="49"/>
        <v>5034.2932616506332</v>
      </c>
      <c r="O200" s="204">
        <v>0</v>
      </c>
      <c r="P200" s="204">
        <v>0</v>
      </c>
      <c r="Q200" s="204">
        <v>0</v>
      </c>
      <c r="R200" s="205">
        <f t="shared" si="50"/>
        <v>5034.2932616506332</v>
      </c>
    </row>
    <row r="201" spans="1:18" x14ac:dyDescent="0.2">
      <c r="A201" s="161">
        <v>2</v>
      </c>
      <c r="B201" s="196">
        <f t="shared" si="45"/>
        <v>44228</v>
      </c>
      <c r="C201" s="219">
        <f t="shared" si="58"/>
        <v>44258</v>
      </c>
      <c r="D201" s="219">
        <f t="shared" si="58"/>
        <v>44279</v>
      </c>
      <c r="E201" s="206" t="s">
        <v>17</v>
      </c>
      <c r="F201" s="236">
        <v>9</v>
      </c>
      <c r="G201" s="199">
        <v>100</v>
      </c>
      <c r="H201" s="200">
        <f t="shared" si="46"/>
        <v>2195.4899999999998</v>
      </c>
      <c r="I201" s="200">
        <f t="shared" si="57"/>
        <v>2247.39</v>
      </c>
      <c r="J201" s="201">
        <f t="shared" si="47"/>
        <v>224739</v>
      </c>
      <c r="K201" s="202">
        <f t="shared" si="60"/>
        <v>219548.99999999997</v>
      </c>
      <c r="L201" s="203">
        <f t="shared" si="59"/>
        <v>5190.0000000000291</v>
      </c>
      <c r="M201" s="204">
        <f t="shared" si="48"/>
        <v>165.63112941556125</v>
      </c>
      <c r="N201" s="205">
        <f t="shared" si="49"/>
        <v>5355.6311294155903</v>
      </c>
      <c r="O201" s="204">
        <v>0</v>
      </c>
      <c r="P201" s="204">
        <v>0</v>
      </c>
      <c r="Q201" s="204">
        <v>0</v>
      </c>
      <c r="R201" s="205">
        <f t="shared" si="50"/>
        <v>5355.6311294155903</v>
      </c>
    </row>
    <row r="202" spans="1:18" x14ac:dyDescent="0.2">
      <c r="A202" s="161">
        <v>3</v>
      </c>
      <c r="B202" s="196">
        <f t="shared" si="45"/>
        <v>44256</v>
      </c>
      <c r="C202" s="219">
        <f t="shared" si="58"/>
        <v>44291</v>
      </c>
      <c r="D202" s="219">
        <f t="shared" si="58"/>
        <v>44312</v>
      </c>
      <c r="E202" s="206" t="s">
        <v>17</v>
      </c>
      <c r="F202" s="236">
        <v>9</v>
      </c>
      <c r="G202" s="199">
        <v>101</v>
      </c>
      <c r="H202" s="200">
        <f t="shared" si="46"/>
        <v>2195.4899999999998</v>
      </c>
      <c r="I202" s="200">
        <f t="shared" si="57"/>
        <v>2247.39</v>
      </c>
      <c r="J202" s="201">
        <f t="shared" si="47"/>
        <v>226986.38999999998</v>
      </c>
      <c r="K202" s="202">
        <f t="shared" si="60"/>
        <v>221744.49</v>
      </c>
      <c r="L202" s="203">
        <f>+J202-K202</f>
        <v>5241.8999999999942</v>
      </c>
      <c r="M202" s="204">
        <f t="shared" si="48"/>
        <v>167.28744070971686</v>
      </c>
      <c r="N202" s="205">
        <f t="shared" si="49"/>
        <v>5409.1874407097112</v>
      </c>
      <c r="O202" s="204">
        <v>0</v>
      </c>
      <c r="P202" s="204">
        <v>0</v>
      </c>
      <c r="Q202" s="204">
        <v>0</v>
      </c>
      <c r="R202" s="205">
        <f t="shared" si="50"/>
        <v>5409.1874407097112</v>
      </c>
    </row>
    <row r="203" spans="1:18" x14ac:dyDescent="0.2">
      <c r="A203" s="124">
        <v>4</v>
      </c>
      <c r="B203" s="196">
        <f t="shared" si="45"/>
        <v>44287</v>
      </c>
      <c r="C203" s="219">
        <f t="shared" si="58"/>
        <v>44321</v>
      </c>
      <c r="D203" s="219">
        <f t="shared" si="58"/>
        <v>44340</v>
      </c>
      <c r="E203" s="206" t="s">
        <v>17</v>
      </c>
      <c r="F203" s="236">
        <v>9</v>
      </c>
      <c r="G203" s="199">
        <v>98</v>
      </c>
      <c r="H203" s="200">
        <f t="shared" si="46"/>
        <v>2195.4899999999998</v>
      </c>
      <c r="I203" s="200">
        <f t="shared" si="57"/>
        <v>2247.39</v>
      </c>
      <c r="J203" s="201">
        <f t="shared" si="47"/>
        <v>220244.22</v>
      </c>
      <c r="K203" s="202">
        <f t="shared" si="60"/>
        <v>215158.02</v>
      </c>
      <c r="L203" s="203">
        <f t="shared" ref="L203:L211" si="61">+J203-K203</f>
        <v>5086.2000000000116</v>
      </c>
      <c r="M203" s="204">
        <f t="shared" si="48"/>
        <v>162.31850682725002</v>
      </c>
      <c r="N203" s="205">
        <f t="shared" si="49"/>
        <v>5248.5185068272613</v>
      </c>
      <c r="O203" s="204">
        <v>0</v>
      </c>
      <c r="P203" s="204">
        <v>0</v>
      </c>
      <c r="Q203" s="204">
        <v>0</v>
      </c>
      <c r="R203" s="205">
        <f t="shared" si="50"/>
        <v>5248.5185068272613</v>
      </c>
    </row>
    <row r="204" spans="1:18" x14ac:dyDescent="0.2">
      <c r="A204" s="161">
        <v>5</v>
      </c>
      <c r="B204" s="196">
        <f t="shared" si="45"/>
        <v>44317</v>
      </c>
      <c r="C204" s="219">
        <f t="shared" si="58"/>
        <v>44350</v>
      </c>
      <c r="D204" s="219">
        <f t="shared" si="58"/>
        <v>44371</v>
      </c>
      <c r="E204" s="54" t="s">
        <v>17</v>
      </c>
      <c r="F204" s="236">
        <v>9</v>
      </c>
      <c r="G204" s="199">
        <v>99</v>
      </c>
      <c r="H204" s="200">
        <f t="shared" si="46"/>
        <v>2195.4899999999998</v>
      </c>
      <c r="I204" s="200">
        <f t="shared" si="57"/>
        <v>2247.39</v>
      </c>
      <c r="J204" s="201">
        <f t="shared" si="47"/>
        <v>222491.61</v>
      </c>
      <c r="K204" s="202">
        <f t="shared" si="60"/>
        <v>217353.50999999998</v>
      </c>
      <c r="L204" s="203">
        <f t="shared" si="61"/>
        <v>5138.1000000000058</v>
      </c>
      <c r="M204" s="204">
        <f t="shared" si="48"/>
        <v>163.97481812140563</v>
      </c>
      <c r="N204" s="205">
        <f t="shared" si="49"/>
        <v>5302.0748181214112</v>
      </c>
      <c r="O204" s="204">
        <v>0</v>
      </c>
      <c r="P204" s="204">
        <v>0</v>
      </c>
      <c r="Q204" s="204">
        <v>0</v>
      </c>
      <c r="R204" s="205">
        <f t="shared" si="50"/>
        <v>5302.0748181214112</v>
      </c>
    </row>
    <row r="205" spans="1:18" x14ac:dyDescent="0.2">
      <c r="A205" s="161">
        <v>6</v>
      </c>
      <c r="B205" s="196">
        <f t="shared" si="45"/>
        <v>44348</v>
      </c>
      <c r="C205" s="219">
        <f t="shared" si="58"/>
        <v>44383</v>
      </c>
      <c r="D205" s="219">
        <f t="shared" si="58"/>
        <v>44401</v>
      </c>
      <c r="E205" s="54" t="s">
        <v>17</v>
      </c>
      <c r="F205" s="236">
        <v>9</v>
      </c>
      <c r="G205" s="199">
        <v>113</v>
      </c>
      <c r="H205" s="200">
        <f t="shared" si="46"/>
        <v>2195.4899999999998</v>
      </c>
      <c r="I205" s="200">
        <f t="shared" si="57"/>
        <v>2247.39</v>
      </c>
      <c r="J205" s="201">
        <f t="shared" si="47"/>
        <v>253955.06999999998</v>
      </c>
      <c r="K205" s="202">
        <f t="shared" si="60"/>
        <v>248090.36999999997</v>
      </c>
      <c r="L205" s="207">
        <f t="shared" si="61"/>
        <v>5864.7000000000116</v>
      </c>
      <c r="M205" s="204">
        <f t="shared" si="48"/>
        <v>187.1631762395842</v>
      </c>
      <c r="N205" s="205">
        <f t="shared" si="49"/>
        <v>6051.8631762395962</v>
      </c>
      <c r="O205" s="204">
        <v>0</v>
      </c>
      <c r="P205" s="204">
        <v>0</v>
      </c>
      <c r="Q205" s="204">
        <v>0</v>
      </c>
      <c r="R205" s="205">
        <f t="shared" si="50"/>
        <v>6051.8631762395962</v>
      </c>
    </row>
    <row r="206" spans="1:18" x14ac:dyDescent="0.2">
      <c r="A206" s="124">
        <v>7</v>
      </c>
      <c r="B206" s="196">
        <f t="shared" si="45"/>
        <v>44378</v>
      </c>
      <c r="C206" s="219">
        <f t="shared" si="58"/>
        <v>44412</v>
      </c>
      <c r="D206" s="219">
        <f t="shared" si="58"/>
        <v>44432</v>
      </c>
      <c r="E206" s="54" t="s">
        <v>17</v>
      </c>
      <c r="F206" s="236">
        <v>9</v>
      </c>
      <c r="G206" s="199">
        <v>116</v>
      </c>
      <c r="H206" s="200">
        <f t="shared" si="46"/>
        <v>2195.4899999999998</v>
      </c>
      <c r="I206" s="200">
        <f t="shared" si="57"/>
        <v>2247.39</v>
      </c>
      <c r="J206" s="201">
        <f t="shared" si="47"/>
        <v>260697.24</v>
      </c>
      <c r="K206" s="208">
        <f t="shared" si="60"/>
        <v>254676.83999999997</v>
      </c>
      <c r="L206" s="207">
        <f t="shared" si="61"/>
        <v>6020.4000000000233</v>
      </c>
      <c r="M206" s="204">
        <f t="shared" si="48"/>
        <v>192.13211012205105</v>
      </c>
      <c r="N206" s="205">
        <f t="shared" si="49"/>
        <v>6212.5321101220743</v>
      </c>
      <c r="O206" s="204">
        <v>0</v>
      </c>
      <c r="P206" s="204">
        <v>0</v>
      </c>
      <c r="Q206" s="204">
        <v>0</v>
      </c>
      <c r="R206" s="205">
        <f t="shared" si="50"/>
        <v>6212.5321101220743</v>
      </c>
    </row>
    <row r="207" spans="1:18" x14ac:dyDescent="0.2">
      <c r="A207" s="161">
        <v>8</v>
      </c>
      <c r="B207" s="196">
        <f t="shared" si="45"/>
        <v>44409</v>
      </c>
      <c r="C207" s="219">
        <f t="shared" si="58"/>
        <v>44442</v>
      </c>
      <c r="D207" s="219">
        <f t="shared" si="58"/>
        <v>44463</v>
      </c>
      <c r="E207" s="54" t="s">
        <v>17</v>
      </c>
      <c r="F207" s="236">
        <v>9</v>
      </c>
      <c r="G207" s="199">
        <v>116</v>
      </c>
      <c r="H207" s="200">
        <f t="shared" si="46"/>
        <v>2195.4899999999998</v>
      </c>
      <c r="I207" s="200">
        <f t="shared" si="57"/>
        <v>2247.39</v>
      </c>
      <c r="J207" s="201">
        <f t="shared" si="47"/>
        <v>260697.24</v>
      </c>
      <c r="K207" s="208">
        <f t="shared" si="60"/>
        <v>254676.83999999997</v>
      </c>
      <c r="L207" s="207">
        <f t="shared" si="61"/>
        <v>6020.4000000000233</v>
      </c>
      <c r="M207" s="204">
        <f t="shared" si="48"/>
        <v>192.13211012205105</v>
      </c>
      <c r="N207" s="205">
        <f t="shared" si="49"/>
        <v>6212.5321101220743</v>
      </c>
      <c r="O207" s="204">
        <v>0</v>
      </c>
      <c r="P207" s="204">
        <v>0</v>
      </c>
      <c r="Q207" s="204">
        <v>0</v>
      </c>
      <c r="R207" s="205">
        <f t="shared" si="50"/>
        <v>6212.5321101220743</v>
      </c>
    </row>
    <row r="208" spans="1:18" x14ac:dyDescent="0.2">
      <c r="A208" s="161">
        <v>9</v>
      </c>
      <c r="B208" s="196">
        <f t="shared" si="45"/>
        <v>44440</v>
      </c>
      <c r="C208" s="219">
        <f t="shared" si="58"/>
        <v>44474</v>
      </c>
      <c r="D208" s="219">
        <f t="shared" si="58"/>
        <v>44494</v>
      </c>
      <c r="E208" s="54" t="s">
        <v>17</v>
      </c>
      <c r="F208" s="236">
        <v>9</v>
      </c>
      <c r="G208" s="199">
        <v>116</v>
      </c>
      <c r="H208" s="200">
        <f t="shared" si="46"/>
        <v>2195.4899999999998</v>
      </c>
      <c r="I208" s="200">
        <f t="shared" si="57"/>
        <v>2247.39</v>
      </c>
      <c r="J208" s="201">
        <f t="shared" si="47"/>
        <v>260697.24</v>
      </c>
      <c r="K208" s="208">
        <f t="shared" si="60"/>
        <v>254676.83999999997</v>
      </c>
      <c r="L208" s="207">
        <f t="shared" si="61"/>
        <v>6020.4000000000233</v>
      </c>
      <c r="M208" s="204">
        <f t="shared" si="48"/>
        <v>192.13211012205105</v>
      </c>
      <c r="N208" s="205">
        <f t="shared" si="49"/>
        <v>6212.5321101220743</v>
      </c>
      <c r="O208" s="204">
        <v>0</v>
      </c>
      <c r="P208" s="204">
        <v>0</v>
      </c>
      <c r="Q208" s="204">
        <v>0</v>
      </c>
      <c r="R208" s="205">
        <f t="shared" si="50"/>
        <v>6212.5321101220743</v>
      </c>
    </row>
    <row r="209" spans="1:18" x14ac:dyDescent="0.2">
      <c r="A209" s="124">
        <v>10</v>
      </c>
      <c r="B209" s="196">
        <f t="shared" si="45"/>
        <v>44470</v>
      </c>
      <c r="C209" s="219">
        <f t="shared" si="58"/>
        <v>44503</v>
      </c>
      <c r="D209" s="219">
        <f t="shared" si="58"/>
        <v>44524</v>
      </c>
      <c r="E209" s="54" t="s">
        <v>17</v>
      </c>
      <c r="F209" s="236">
        <v>9</v>
      </c>
      <c r="G209" s="199">
        <v>105</v>
      </c>
      <c r="H209" s="200">
        <f t="shared" si="46"/>
        <v>2195.4899999999998</v>
      </c>
      <c r="I209" s="200">
        <f t="shared" si="57"/>
        <v>2247.39</v>
      </c>
      <c r="J209" s="201">
        <f t="shared" si="47"/>
        <v>235975.94999999998</v>
      </c>
      <c r="K209" s="208">
        <f t="shared" si="60"/>
        <v>230526.44999999998</v>
      </c>
      <c r="L209" s="207">
        <f t="shared" si="61"/>
        <v>5449.5</v>
      </c>
      <c r="M209" s="204">
        <f t="shared" si="48"/>
        <v>173.91268588633932</v>
      </c>
      <c r="N209" s="205">
        <f t="shared" si="49"/>
        <v>5623.4126858863392</v>
      </c>
      <c r="O209" s="204">
        <v>0</v>
      </c>
      <c r="P209" s="204">
        <v>0</v>
      </c>
      <c r="Q209" s="204">
        <v>0</v>
      </c>
      <c r="R209" s="205">
        <f t="shared" si="50"/>
        <v>5623.4126858863392</v>
      </c>
    </row>
    <row r="210" spans="1:18" x14ac:dyDescent="0.2">
      <c r="A210" s="161">
        <v>11</v>
      </c>
      <c r="B210" s="196">
        <f t="shared" si="45"/>
        <v>44501</v>
      </c>
      <c r="C210" s="219">
        <f t="shared" si="58"/>
        <v>44533</v>
      </c>
      <c r="D210" s="219">
        <f t="shared" si="58"/>
        <v>44557</v>
      </c>
      <c r="E210" s="54" t="s">
        <v>17</v>
      </c>
      <c r="F210" s="236">
        <v>9</v>
      </c>
      <c r="G210" s="199">
        <v>100</v>
      </c>
      <c r="H210" s="200">
        <f t="shared" si="46"/>
        <v>2195.4899999999998</v>
      </c>
      <c r="I210" s="200">
        <f t="shared" si="57"/>
        <v>2247.39</v>
      </c>
      <c r="J210" s="201">
        <f t="shared" si="47"/>
        <v>224739</v>
      </c>
      <c r="K210" s="208">
        <f>+$G210*H210</f>
        <v>219548.99999999997</v>
      </c>
      <c r="L210" s="207">
        <f t="shared" si="61"/>
        <v>5190.0000000000291</v>
      </c>
      <c r="M210" s="204">
        <f t="shared" si="48"/>
        <v>165.63112941556125</v>
      </c>
      <c r="N210" s="205">
        <f t="shared" si="49"/>
        <v>5355.6311294155903</v>
      </c>
      <c r="O210" s="204">
        <v>0</v>
      </c>
      <c r="P210" s="204">
        <v>0</v>
      </c>
      <c r="Q210" s="204">
        <v>0</v>
      </c>
      <c r="R210" s="205">
        <f t="shared" si="50"/>
        <v>5355.6311294155903</v>
      </c>
    </row>
    <row r="211" spans="1:18" s="223" customFormat="1" x14ac:dyDescent="0.2">
      <c r="A211" s="161">
        <v>12</v>
      </c>
      <c r="B211" s="221">
        <f t="shared" si="45"/>
        <v>44531</v>
      </c>
      <c r="C211" s="224">
        <f t="shared" si="58"/>
        <v>44566</v>
      </c>
      <c r="D211" s="224">
        <f t="shared" si="58"/>
        <v>44585</v>
      </c>
      <c r="E211" s="222" t="s">
        <v>17</v>
      </c>
      <c r="F211" s="238">
        <v>9</v>
      </c>
      <c r="G211" s="211">
        <v>103</v>
      </c>
      <c r="H211" s="212">
        <f t="shared" si="46"/>
        <v>2195.4899999999998</v>
      </c>
      <c r="I211" s="212">
        <f t="shared" si="57"/>
        <v>2247.39</v>
      </c>
      <c r="J211" s="213">
        <f t="shared" si="47"/>
        <v>231481.16999999998</v>
      </c>
      <c r="K211" s="214">
        <f>+$G211*H211</f>
        <v>226135.46999999997</v>
      </c>
      <c r="L211" s="215">
        <f t="shared" si="61"/>
        <v>5345.7000000000116</v>
      </c>
      <c r="M211" s="213">
        <f t="shared" si="48"/>
        <v>170.60006329802809</v>
      </c>
      <c r="N211" s="205">
        <f t="shared" si="49"/>
        <v>5516.3000632980402</v>
      </c>
      <c r="O211" s="204">
        <v>0</v>
      </c>
      <c r="P211" s="204">
        <v>0</v>
      </c>
      <c r="Q211" s="204">
        <v>0</v>
      </c>
      <c r="R211" s="205">
        <f t="shared" si="50"/>
        <v>5516.3000632980402</v>
      </c>
    </row>
    <row r="212" spans="1:18" x14ac:dyDescent="0.2">
      <c r="G212" s="229">
        <f>SUM(G20:G211)</f>
        <v>98311</v>
      </c>
      <c r="H212" s="51"/>
      <c r="I212" s="51"/>
      <c r="J212" s="51">
        <f>SUM(J20:J211)</f>
        <v>220943158.28999996</v>
      </c>
      <c r="K212" s="51">
        <f>SUM(K20:K211)</f>
        <v>215840817.39000002</v>
      </c>
      <c r="L212" s="51">
        <f>SUM(L20:L211)</f>
        <v>5102340.9000000153</v>
      </c>
      <c r="M212" s="51">
        <f>SUM(M20:M211)</f>
        <v>162833.61963973264</v>
      </c>
      <c r="N212" s="51"/>
      <c r="O212" s="51"/>
      <c r="P212" s="51">
        <f>SUM(P20:P211)</f>
        <v>0</v>
      </c>
      <c r="Q212" s="51"/>
      <c r="R212" s="230">
        <f>SUM(R20:R211)</f>
        <v>5265174.5196397481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MjowNy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NjozNCBQTTwvRGF0ZVRpbWU+PExhYmVsU3RyaW5nPkFFUCBJbnRlcm5hbDwvTGFiZWxTdHJpbmc+PC9pdGVtPjwvbGFiZWxIaXN0b3J5Pg==</Value>
</WrappedLabelHistory>
</file>

<file path=customXml/itemProps1.xml><?xml version="1.0" encoding="utf-8"?>
<ds:datastoreItem xmlns:ds="http://schemas.openxmlformats.org/officeDocument/2006/customXml" ds:itemID="{5EE21942-A80A-4435-8863-CAEF5D4B68DC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50285AF-BA6B-4E34-8A33-348A192DBC81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2022-05-29T23:29:17Z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a7ee4e5d-425d-498f-aebd-2f3d9da74dc5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{450285AF-BA6B-4E34-8A33-348A192DBC81}</vt:lpwstr>
  </property>
</Properties>
</file>